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Material Balance (Unscaled)" sheetId="1" state="visible" r:id="rId2"/>
    <sheet name="Sheet2" sheetId="2" state="visible" r:id="rId3"/>
    <sheet name="Sum of Mass Flowrate = 0" sheetId="3" state="visible" r:id="rId4"/>
    <sheet name="Sheet4" sheetId="4" state="visible" r:id="rId5"/>
  </sheets>
  <definedNames>
    <definedName function="false" hidden="false" localSheetId="0" name="solver_adj" vbProcedure="false">'Material Balance (Unscaled)'!$O$37:$O$38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ng" vbProcedure="false">1</definedName>
    <definedName function="false" hidden="false" localSheetId="0" name="solver_est" vbProcedure="false">1</definedName>
    <definedName function="false" hidden="false" localSheetId="0" name="solver_itr" vbProcedure="false">2147483647</definedName>
    <definedName function="false" hidden="false" localSheetId="0" name="solver_lhs1" vbProcedure="false">'Material Balance (Unscaled)'!$M$37:$M$38</definedName>
    <definedName function="false" hidden="false" localSheetId="0" name="solver_lhs2" vbProcedure="false">'Material Balance (Unscaled)'!$M$57:$M$58</definedName>
    <definedName function="false" hidden="false" localSheetId="0" name="solver_mip" vbProcedure="false">2147483647</definedName>
    <definedName function="false" hidden="false" localSheetId="0" name="solver_mni" vbProcedure="false">30</definedName>
    <definedName function="false" hidden="false" localSheetId="0" name="solver_mrt" vbProcedure="false">0.075</definedName>
    <definedName function="false" hidden="false" localSheetId="0" name="solver_msl" vbProcedure="false">2</definedName>
    <definedName function="false" hidden="false" localSheetId="0" name="solver_neg" vbProcedure="false">1</definedName>
    <definedName function="false" hidden="false" localSheetId="0" name="solver_nod" vbProcedure="false">2147483647</definedName>
    <definedName function="false" hidden="false" localSheetId="0" name="solver_num" vbProcedure="false">1</definedName>
    <definedName function="false" hidden="false" localSheetId="0" name="solver_nwt" vbProcedure="false">1</definedName>
    <definedName function="false" hidden="false" localSheetId="0" name="solver_pre" vbProcedure="false">0.000001</definedName>
    <definedName function="false" hidden="false" localSheetId="0" name="solver_rbv" vbProcedure="false">1</definedName>
    <definedName function="false" hidden="false" localSheetId="0" name="solver_rel1" vbProcedure="false">2</definedName>
    <definedName function="false" hidden="false" localSheetId="0" name="solver_rel2" vbProcedure="false">2</definedName>
    <definedName function="false" hidden="false" localSheetId="0" name="solver_rhs1" vbProcedure="false">'Material Balance (Unscaled)'!$N$37:$N$38</definedName>
    <definedName function="false" hidden="false" localSheetId="0" name="solver_rhs2" vbProcedure="false">'Material Balance (Unscaled)'!$N$57:$N$58</definedName>
    <definedName function="false" hidden="false" localSheetId="0" name="solver_rlx" vbProcedure="false">2</definedName>
    <definedName function="false" hidden="false" localSheetId="0" name="solver_rsd" vbProcedure="false">0</definedName>
    <definedName function="false" hidden="false" localSheetId="0" name="solver_scl" vbProcedure="false">1</definedName>
    <definedName function="false" hidden="false" localSheetId="0" name="solver_sho" vbProcedure="false">2</definedName>
    <definedName function="false" hidden="false" localSheetId="0" name="solver_ssz" vbProcedure="false">100</definedName>
    <definedName function="false" hidden="false" localSheetId="0" name="solver_tim" vbProcedure="false">2147483647</definedName>
    <definedName function="false" hidden="false" localSheetId="0" name="solver_tol" vbProcedure="false">0.01</definedName>
    <definedName function="false" hidden="false" localSheetId="0" name="solver_typ" vbProcedure="false">1</definedName>
    <definedName function="false" hidden="false" localSheetId="0" name="solver_val" vbProcedure="false">0</definedName>
    <definedName function="false" hidden="false" localSheetId="0" name="solver_ver" vbProcedure="false">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<sst xmlns="http://schemas.openxmlformats.org/spreadsheetml/2006/main" count="1116" uniqueCount="116">
  <si>
    <t>(Values in bold can be replaced for scaling purposes)</t>
  </si>
  <si>
    <t>Liquid Cp values</t>
  </si>
  <si>
    <t>H = int Cp dT = int (a + bT + cT^2 + dT^3)</t>
  </si>
  <si>
    <t>MTBE Production (Molar Flowrate, kmol/h)</t>
  </si>
  <si>
    <t>MTBE Energy Usage (kJ/h)</t>
  </si>
  <si>
    <t>kJ/(kmol*K)</t>
  </si>
  <si>
    <t>Stream</t>
  </si>
  <si>
    <t>1 (Methanol feed) LIQ</t>
  </si>
  <si>
    <t>2 (Butenes feed) VAP</t>
  </si>
  <si>
    <t>3 (Methanol feed + recycle) LIQ</t>
  </si>
  <si>
    <t>4 (Compressed methanol) LIQ</t>
  </si>
  <si>
    <t>5 (Compressed stream 2) LIQ</t>
  </si>
  <si>
    <t>NOT FROM PERRY</t>
  </si>
  <si>
    <t>a</t>
  </si>
  <si>
    <t>b</t>
  </si>
  <si>
    <t>c</t>
  </si>
  <si>
    <t>d</t>
  </si>
  <si>
    <t>T_ref</t>
  </si>
  <si>
    <t>stream6</t>
  </si>
  <si>
    <t>stream7</t>
  </si>
  <si>
    <t>stream10</t>
  </si>
  <si>
    <t>stream11</t>
  </si>
  <si>
    <t>1 (Methanol feed)</t>
  </si>
  <si>
    <t>2 (Butenes feed)</t>
  </si>
  <si>
    <t>3 (Stream 1 + recycle)</t>
  </si>
  <si>
    <t>4 (Compressed methanol)</t>
  </si>
  <si>
    <t>5 (Compressed stream 2)</t>
  </si>
  <si>
    <t>Excess of A, %</t>
  </si>
  <si>
    <t>Pressure(atm), Temp(K)</t>
  </si>
  <si>
    <t>methanol</t>
  </si>
  <si>
    <t>Components</t>
  </si>
  <si>
    <t>Molar Flowrate (kmol/h)</t>
  </si>
  <si>
    <t>Mole Fraction</t>
  </si>
  <si>
    <t>Conversion Factor</t>
  </si>
  <si>
    <t>Liq mole enthalpy (kJ/kmol)</t>
  </si>
  <si>
    <t>Enthalpy (kJ/hr)</t>
  </si>
  <si>
    <t>Molar enthalpy (kJ/kmol)</t>
  </si>
  <si>
    <t>isobutene</t>
  </si>
  <si>
    <t>Methanol</t>
  </si>
  <si>
    <t>Extent of Reaction (kmol/h)</t>
  </si>
  <si>
    <t>1-butene</t>
  </si>
  <si>
    <t>Isobutene</t>
  </si>
  <si>
    <t>Trans-2-butene</t>
  </si>
  <si>
    <t>1-Butene</t>
  </si>
  <si>
    <t>DC1</t>
  </si>
  <si>
    <t>Reflux to recycle ratio</t>
  </si>
  <si>
    <t>MTBE</t>
  </si>
  <si>
    <t>Condenser (2:1)</t>
  </si>
  <si>
    <t>water</t>
  </si>
  <si>
    <t>kJ/h</t>
  </si>
  <si>
    <t>Water</t>
  </si>
  <si>
    <t>DC2</t>
  </si>
  <si>
    <t>kJ/s</t>
  </si>
  <si>
    <t>Total</t>
  </si>
  <si>
    <t>Condenser (1:2)</t>
  </si>
  <si>
    <t>TOTAL</t>
  </si>
  <si>
    <t>Gas Cp values</t>
  </si>
  <si>
    <t>H = int Cp dT = int (a + b(((c/T)/sinh(c/T))^2) + d(((e/T)/cosh(e/T))^2)</t>
  </si>
  <si>
    <t>J/(kmol*K)</t>
  </si>
  <si>
    <t>integral (a+b (c/(T sinh(c/T)))^2+d (e/(T cosh(e/T)))^2) dT = a T+b c coth(c/T)-d e tanh(e/T)</t>
  </si>
  <si>
    <t>6 (Stream 4 + stream 5)</t>
  </si>
  <si>
    <t>7 (Heated stream 6, reactor input)</t>
  </si>
  <si>
    <t>8 (Reactor output)</t>
  </si>
  <si>
    <t>9 (Stream 8 pass through valve)</t>
  </si>
  <si>
    <t>10 (Cooled stream 9)</t>
  </si>
  <si>
    <t>6 (Stream 4 + stream 5) LIQ</t>
  </si>
  <si>
    <t>7 (Heated stream 6, reactor input) LIQ</t>
  </si>
  <si>
    <t>8 (Reactor output) LIQ</t>
  </si>
  <si>
    <t>9 (Stream 8 pass through valve) LIQ</t>
  </si>
  <si>
    <t>10 (Cooled stream 9) LIQ</t>
  </si>
  <si>
    <t>FROM PERRY</t>
  </si>
  <si>
    <t>e</t>
  </si>
  <si>
    <t>11 (Top of DC1)</t>
  </si>
  <si>
    <t>12 (Condensate)</t>
  </si>
  <si>
    <t>13 (Reflux)</t>
  </si>
  <si>
    <t>14 (Distillate)</t>
  </si>
  <si>
    <t>15 (Bottom of DC1)</t>
  </si>
  <si>
    <t>19 (</t>
  </si>
  <si>
    <t>Solver Calculation for Stream 16&amp;17</t>
  </si>
  <si>
    <t>Stream 9 Cp_L calculation</t>
  </si>
  <si>
    <t>Left</t>
  </si>
  <si>
    <t>Rght</t>
  </si>
  <si>
    <t>Stream Flowrate</t>
  </si>
  <si>
    <t>int CpL dT (J/kmol)</t>
  </si>
  <si>
    <t>A</t>
  </si>
  <si>
    <t>B</t>
  </si>
  <si>
    <t>C</t>
  </si>
  <si>
    <t>D</t>
  </si>
  <si>
    <t>Solver Calculation for Stream 27&amp;28</t>
  </si>
  <si>
    <t>Confirmation of calculation: Nett mass flowrate must equal to ZERO</t>
  </si>
  <si>
    <t>Inlet Streams</t>
  </si>
  <si>
    <t>Outlet Streams</t>
  </si>
  <si>
    <t>Stream 1 (Methanol Feed)</t>
  </si>
  <si>
    <t>Stream 17 (Product Stream)</t>
  </si>
  <si>
    <t>Stream 13 (Condenser 1 Reflux)</t>
  </si>
  <si>
    <t>Molar Flowrate</t>
  </si>
  <si>
    <t>Mass Flowrate</t>
  </si>
  <si>
    <t>Stream 2 (Butenes Feed)</t>
  </si>
  <si>
    <t>Stream 19 (Waste Butenes)</t>
  </si>
  <si>
    <t>Stream 16 (Reboiler 1 Reflux)</t>
  </si>
  <si>
    <t>Stream 18 (Process Water)</t>
  </si>
  <si>
    <t>Stream 28 (Waste water)</t>
  </si>
  <si>
    <t>Stream 24 (Condenser 2 Reflux)</t>
  </si>
  <si>
    <t>Stream 27 (Reboiler 2 Reflux)</t>
  </si>
  <si>
    <t>Molar mass (g/mol)</t>
  </si>
  <si>
    <t>Scale Factor</t>
  </si>
  <si>
    <t>Net Mass Flowrate</t>
  </si>
  <si>
    <t>MTBE Production (Mass Flowrate, kg/h)</t>
  </si>
  <si>
    <t>Mass Flowrate (kg/h)</t>
  </si>
  <si>
    <t>Mass Fraction</t>
  </si>
  <si>
    <t>Conversion Factor from kg/h to tonne/year</t>
  </si>
  <si>
    <t>MTBE Production (Mass Flowrate, tonne/year)</t>
  </si>
  <si>
    <t>Mass Flowrate (tonne/y)</t>
  </si>
  <si>
    <t>Scale Factor up to 300,000 tonne/year MTBE</t>
  </si>
  <si>
    <t>MTBE Production After Scaling (Mass Flowrate, tonne/year)</t>
  </si>
  <si>
    <t>Net mol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</si>
</sst>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"/>
    <numFmt numFmtId="166" formatCode="0%"/>
    <numFmt numFmtId="167" formatCode="HH:MM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558ED5"/>
        <bgColor rgb="FF808080"/>
      </patternFill>
    </fill>
    <fill>
      <patternFill patternType="solid">
        <fgColor rgb="FFFF3333"/>
        <bgColor rgb="FFFF0000"/>
      </patternFill>
    </fill>
    <fill>
      <patternFill patternType="solid">
        <fgColor rgb="FFFFCCCC"/>
        <bgColor rgb="FFE6E0EC"/>
      </patternFill>
    </fill>
    <fill>
      <patternFill patternType="solid">
        <fgColor rgb="FFFFFF00"/>
        <bgColor rgb="FFFFFF00"/>
      </patternFill>
    </fill>
    <fill>
      <patternFill patternType="solid">
        <fgColor rgb="FFCFE7F5"/>
        <bgColor rgb="FFDCE6F2"/>
      </patternFill>
    </fill>
    <fill>
      <patternFill patternType="solid">
        <fgColor rgb="FF92D050"/>
        <bgColor rgb="FF969696"/>
      </patternFill>
    </fill>
    <fill>
      <patternFill patternType="solid">
        <fgColor rgb="FFC6D9F1"/>
        <bgColor rgb="FFCFE7F5"/>
      </patternFill>
    </fill>
    <fill>
      <patternFill patternType="solid">
        <fgColor rgb="FF0070C0"/>
        <bgColor rgb="FF008080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E6E0EC"/>
        <bgColor rgb="FFDCE6F2"/>
      </patternFill>
    </fill>
    <fill>
      <patternFill patternType="solid">
        <fgColor rgb="FFCCC1DA"/>
        <bgColor rgb="FFC6D9F1"/>
      </patternFill>
    </fill>
    <fill>
      <patternFill patternType="solid">
        <fgColor rgb="FFFFFFFF"/>
        <bgColor rgb="FFDBEEF4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1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E6E0EC"/>
      <rgbColor rgb="FFDBEEF4"/>
      <rgbColor rgb="FF660066"/>
      <rgbColor rgb="FFFF8080"/>
      <rgbColor rgb="FF0070C0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DCE6F2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3333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255600</xdr:colOff>
      <xdr:row>17</xdr:row>
      <xdr:rowOff>27720</xdr:rowOff>
    </xdr:from>
    <xdr:to>
      <xdr:col>9</xdr:col>
      <xdr:colOff>252000</xdr:colOff>
      <xdr:row>18</xdr:row>
      <xdr:rowOff>98280</xdr:rowOff>
    </xdr:to>
    <xdr:sp>
      <xdr:nvSpPr>
        <xdr:cNvPr id="0" name="CustomShape 1"/>
        <xdr:cNvSpPr/>
      </xdr:nvSpPr>
      <xdr:spPr>
        <a:xfrm>
          <a:off x="10577520" y="3036240"/>
          <a:ext cx="913680" cy="2458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47</xdr:row>
      <xdr:rowOff>115920</xdr:rowOff>
    </xdr:from>
    <xdr:to>
      <xdr:col>9</xdr:col>
      <xdr:colOff>252000</xdr:colOff>
      <xdr:row>49</xdr:row>
      <xdr:rowOff>12240</xdr:rowOff>
    </xdr:to>
    <xdr:sp>
      <xdr:nvSpPr>
        <xdr:cNvPr id="1" name="CustomShape 1"/>
        <xdr:cNvSpPr/>
      </xdr:nvSpPr>
      <xdr:spPr>
        <a:xfrm>
          <a:off x="10577520" y="8424000"/>
          <a:ext cx="913680" cy="24696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47</xdr:row>
      <xdr:rowOff>115920</xdr:rowOff>
    </xdr:from>
    <xdr:to>
      <xdr:col>9</xdr:col>
      <xdr:colOff>252000</xdr:colOff>
      <xdr:row>49</xdr:row>
      <xdr:rowOff>12240</xdr:rowOff>
    </xdr:to>
    <xdr:sp>
      <xdr:nvSpPr>
        <xdr:cNvPr id="2" name="CustomShape 1"/>
        <xdr:cNvSpPr/>
      </xdr:nvSpPr>
      <xdr:spPr>
        <a:xfrm>
          <a:off x="10577520" y="8424000"/>
          <a:ext cx="913680" cy="24696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57</xdr:row>
      <xdr:rowOff>131400</xdr:rowOff>
    </xdr:from>
    <xdr:to>
      <xdr:col>9</xdr:col>
      <xdr:colOff>252000</xdr:colOff>
      <xdr:row>59</xdr:row>
      <xdr:rowOff>18000</xdr:rowOff>
    </xdr:to>
    <xdr:sp>
      <xdr:nvSpPr>
        <xdr:cNvPr id="3" name="CustomShape 1"/>
        <xdr:cNvSpPr/>
      </xdr:nvSpPr>
      <xdr:spPr>
        <a:xfrm>
          <a:off x="10577520" y="10192320"/>
          <a:ext cx="913680" cy="2368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121</xdr:row>
      <xdr:rowOff>169560</xdr:rowOff>
    </xdr:from>
    <xdr:to>
      <xdr:col>9</xdr:col>
      <xdr:colOff>252000</xdr:colOff>
      <xdr:row>123</xdr:row>
      <xdr:rowOff>50040</xdr:rowOff>
    </xdr:to>
    <xdr:sp>
      <xdr:nvSpPr>
        <xdr:cNvPr id="4" name="CustomShape 1"/>
        <xdr:cNvSpPr/>
      </xdr:nvSpPr>
      <xdr:spPr>
        <a:xfrm>
          <a:off x="10577520" y="2210220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151</xdr:row>
      <xdr:rowOff>169560</xdr:rowOff>
    </xdr:from>
    <xdr:to>
      <xdr:col>9</xdr:col>
      <xdr:colOff>252000</xdr:colOff>
      <xdr:row>153</xdr:row>
      <xdr:rowOff>50040</xdr:rowOff>
    </xdr:to>
    <xdr:sp>
      <xdr:nvSpPr>
        <xdr:cNvPr id="5" name="CustomShape 1"/>
        <xdr:cNvSpPr/>
      </xdr:nvSpPr>
      <xdr:spPr>
        <a:xfrm>
          <a:off x="10577520" y="2781720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151</xdr:row>
      <xdr:rowOff>169560</xdr:rowOff>
    </xdr:from>
    <xdr:to>
      <xdr:col>9</xdr:col>
      <xdr:colOff>252000</xdr:colOff>
      <xdr:row>153</xdr:row>
      <xdr:rowOff>50040</xdr:rowOff>
    </xdr:to>
    <xdr:sp>
      <xdr:nvSpPr>
        <xdr:cNvPr id="6" name="CustomShape 1"/>
        <xdr:cNvSpPr/>
      </xdr:nvSpPr>
      <xdr:spPr>
        <a:xfrm>
          <a:off x="10577520" y="2781720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161</xdr:row>
      <xdr:rowOff>168840</xdr:rowOff>
    </xdr:from>
    <xdr:to>
      <xdr:col>9</xdr:col>
      <xdr:colOff>252000</xdr:colOff>
      <xdr:row>163</xdr:row>
      <xdr:rowOff>50760</xdr:rowOff>
    </xdr:to>
    <xdr:sp>
      <xdr:nvSpPr>
        <xdr:cNvPr id="7" name="CustomShape 1"/>
        <xdr:cNvSpPr/>
      </xdr:nvSpPr>
      <xdr:spPr>
        <a:xfrm>
          <a:off x="10577520" y="29721600"/>
          <a:ext cx="913680" cy="2628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185</xdr:row>
      <xdr:rowOff>168840</xdr:rowOff>
    </xdr:from>
    <xdr:to>
      <xdr:col>9</xdr:col>
      <xdr:colOff>252000</xdr:colOff>
      <xdr:row>187</xdr:row>
      <xdr:rowOff>50400</xdr:rowOff>
    </xdr:to>
    <xdr:sp>
      <xdr:nvSpPr>
        <xdr:cNvPr id="8" name="CustomShape 1"/>
        <xdr:cNvSpPr/>
      </xdr:nvSpPr>
      <xdr:spPr>
        <a:xfrm>
          <a:off x="10577520" y="34293600"/>
          <a:ext cx="913680" cy="26244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215</xdr:row>
      <xdr:rowOff>168840</xdr:rowOff>
    </xdr:from>
    <xdr:to>
      <xdr:col>9</xdr:col>
      <xdr:colOff>252000</xdr:colOff>
      <xdr:row>217</xdr:row>
      <xdr:rowOff>50400</xdr:rowOff>
    </xdr:to>
    <xdr:sp>
      <xdr:nvSpPr>
        <xdr:cNvPr id="9" name="CustomShape 1"/>
        <xdr:cNvSpPr/>
      </xdr:nvSpPr>
      <xdr:spPr>
        <a:xfrm>
          <a:off x="10577520" y="40008600"/>
          <a:ext cx="913680" cy="26244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215</xdr:row>
      <xdr:rowOff>168840</xdr:rowOff>
    </xdr:from>
    <xdr:to>
      <xdr:col>9</xdr:col>
      <xdr:colOff>252000</xdr:colOff>
      <xdr:row>217</xdr:row>
      <xdr:rowOff>50400</xdr:rowOff>
    </xdr:to>
    <xdr:sp>
      <xdr:nvSpPr>
        <xdr:cNvPr id="10" name="CustomShape 1"/>
        <xdr:cNvSpPr/>
      </xdr:nvSpPr>
      <xdr:spPr>
        <a:xfrm>
          <a:off x="10577520" y="40008600"/>
          <a:ext cx="913680" cy="26244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225</xdr:row>
      <xdr:rowOff>169560</xdr:rowOff>
    </xdr:from>
    <xdr:to>
      <xdr:col>9</xdr:col>
      <xdr:colOff>252000</xdr:colOff>
      <xdr:row>227</xdr:row>
      <xdr:rowOff>50400</xdr:rowOff>
    </xdr:to>
    <xdr:sp>
      <xdr:nvSpPr>
        <xdr:cNvPr id="11" name="CustomShape 1"/>
        <xdr:cNvSpPr/>
      </xdr:nvSpPr>
      <xdr:spPr>
        <a:xfrm>
          <a:off x="10577520" y="4191444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249</xdr:row>
      <xdr:rowOff>169560</xdr:rowOff>
    </xdr:from>
    <xdr:to>
      <xdr:col>9</xdr:col>
      <xdr:colOff>252000</xdr:colOff>
      <xdr:row>251</xdr:row>
      <xdr:rowOff>50400</xdr:rowOff>
    </xdr:to>
    <xdr:sp>
      <xdr:nvSpPr>
        <xdr:cNvPr id="12" name="CustomShape 1"/>
        <xdr:cNvSpPr/>
      </xdr:nvSpPr>
      <xdr:spPr>
        <a:xfrm>
          <a:off x="10577520" y="4648644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279</xdr:row>
      <xdr:rowOff>169560</xdr:rowOff>
    </xdr:from>
    <xdr:to>
      <xdr:col>9</xdr:col>
      <xdr:colOff>252000</xdr:colOff>
      <xdr:row>281</xdr:row>
      <xdr:rowOff>50400</xdr:rowOff>
    </xdr:to>
    <xdr:sp>
      <xdr:nvSpPr>
        <xdr:cNvPr id="13" name="CustomShape 1"/>
        <xdr:cNvSpPr/>
      </xdr:nvSpPr>
      <xdr:spPr>
        <a:xfrm>
          <a:off x="10577520" y="5220144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279</xdr:row>
      <xdr:rowOff>169560</xdr:rowOff>
    </xdr:from>
    <xdr:to>
      <xdr:col>9</xdr:col>
      <xdr:colOff>252000</xdr:colOff>
      <xdr:row>281</xdr:row>
      <xdr:rowOff>50400</xdr:rowOff>
    </xdr:to>
    <xdr:sp>
      <xdr:nvSpPr>
        <xdr:cNvPr id="14" name="CustomShape 1"/>
        <xdr:cNvSpPr/>
      </xdr:nvSpPr>
      <xdr:spPr>
        <a:xfrm>
          <a:off x="10577520" y="52201440"/>
          <a:ext cx="913680" cy="26172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289</xdr:row>
      <xdr:rowOff>169200</xdr:rowOff>
    </xdr:from>
    <xdr:to>
      <xdr:col>9</xdr:col>
      <xdr:colOff>252000</xdr:colOff>
      <xdr:row>291</xdr:row>
      <xdr:rowOff>50400</xdr:rowOff>
    </xdr:to>
    <xdr:sp>
      <xdr:nvSpPr>
        <xdr:cNvPr id="15" name="CustomShape 1"/>
        <xdr:cNvSpPr/>
      </xdr:nvSpPr>
      <xdr:spPr>
        <a:xfrm>
          <a:off x="10577520" y="54105840"/>
          <a:ext cx="913680" cy="26244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255600</xdr:colOff>
      <xdr:row>2</xdr:row>
      <xdr:rowOff>170280</xdr:rowOff>
    </xdr:from>
    <xdr:to>
      <xdr:col>9</xdr:col>
      <xdr:colOff>219960</xdr:colOff>
      <xdr:row>4</xdr:row>
      <xdr:rowOff>51480</xdr:rowOff>
    </xdr:to>
    <xdr:sp>
      <xdr:nvSpPr>
        <xdr:cNvPr id="16" name="CustomShape 1"/>
        <xdr:cNvSpPr/>
      </xdr:nvSpPr>
      <xdr:spPr>
        <a:xfrm>
          <a:off x="9567720" y="55116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12</xdr:row>
      <xdr:rowOff>170280</xdr:rowOff>
    </xdr:from>
    <xdr:to>
      <xdr:col>9</xdr:col>
      <xdr:colOff>219960</xdr:colOff>
      <xdr:row>14</xdr:row>
      <xdr:rowOff>51480</xdr:rowOff>
    </xdr:to>
    <xdr:sp>
      <xdr:nvSpPr>
        <xdr:cNvPr id="17" name="CustomShape 1"/>
        <xdr:cNvSpPr/>
      </xdr:nvSpPr>
      <xdr:spPr>
        <a:xfrm>
          <a:off x="9567720" y="245628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22</xdr:row>
      <xdr:rowOff>170280</xdr:rowOff>
    </xdr:from>
    <xdr:to>
      <xdr:col>9</xdr:col>
      <xdr:colOff>219960</xdr:colOff>
      <xdr:row>24</xdr:row>
      <xdr:rowOff>51120</xdr:rowOff>
    </xdr:to>
    <xdr:sp>
      <xdr:nvSpPr>
        <xdr:cNvPr id="18" name="CustomShape 1"/>
        <xdr:cNvSpPr/>
      </xdr:nvSpPr>
      <xdr:spPr>
        <a:xfrm>
          <a:off x="9567720" y="436104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22</xdr:row>
      <xdr:rowOff>170280</xdr:rowOff>
    </xdr:from>
    <xdr:to>
      <xdr:col>9</xdr:col>
      <xdr:colOff>219960</xdr:colOff>
      <xdr:row>24</xdr:row>
      <xdr:rowOff>51120</xdr:rowOff>
    </xdr:to>
    <xdr:sp>
      <xdr:nvSpPr>
        <xdr:cNvPr id="19" name="CustomShape 1"/>
        <xdr:cNvSpPr/>
      </xdr:nvSpPr>
      <xdr:spPr>
        <a:xfrm>
          <a:off x="9567720" y="436104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32</xdr:row>
      <xdr:rowOff>170280</xdr:rowOff>
    </xdr:from>
    <xdr:to>
      <xdr:col>9</xdr:col>
      <xdr:colOff>219960</xdr:colOff>
      <xdr:row>34</xdr:row>
      <xdr:rowOff>51480</xdr:rowOff>
    </xdr:to>
    <xdr:sp>
      <xdr:nvSpPr>
        <xdr:cNvPr id="20" name="CustomShape 1"/>
        <xdr:cNvSpPr/>
      </xdr:nvSpPr>
      <xdr:spPr>
        <a:xfrm>
          <a:off x="9567720" y="626616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32</xdr:row>
      <xdr:rowOff>170280</xdr:rowOff>
    </xdr:from>
    <xdr:to>
      <xdr:col>9</xdr:col>
      <xdr:colOff>219960</xdr:colOff>
      <xdr:row>34</xdr:row>
      <xdr:rowOff>51480</xdr:rowOff>
    </xdr:to>
    <xdr:sp>
      <xdr:nvSpPr>
        <xdr:cNvPr id="21" name="CustomShape 1"/>
        <xdr:cNvSpPr/>
      </xdr:nvSpPr>
      <xdr:spPr>
        <a:xfrm>
          <a:off x="9567720" y="626616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42</xdr:row>
      <xdr:rowOff>170280</xdr:rowOff>
    </xdr:from>
    <xdr:to>
      <xdr:col>9</xdr:col>
      <xdr:colOff>219960</xdr:colOff>
      <xdr:row>44</xdr:row>
      <xdr:rowOff>51480</xdr:rowOff>
    </xdr:to>
    <xdr:sp>
      <xdr:nvSpPr>
        <xdr:cNvPr id="22" name="CustomShape 1"/>
        <xdr:cNvSpPr/>
      </xdr:nvSpPr>
      <xdr:spPr>
        <a:xfrm>
          <a:off x="9567720" y="817128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42</xdr:row>
      <xdr:rowOff>170280</xdr:rowOff>
    </xdr:from>
    <xdr:to>
      <xdr:col>9</xdr:col>
      <xdr:colOff>219960</xdr:colOff>
      <xdr:row>44</xdr:row>
      <xdr:rowOff>51480</xdr:rowOff>
    </xdr:to>
    <xdr:sp>
      <xdr:nvSpPr>
        <xdr:cNvPr id="23" name="CustomShape 1"/>
        <xdr:cNvSpPr/>
      </xdr:nvSpPr>
      <xdr:spPr>
        <a:xfrm>
          <a:off x="9567720" y="817128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52</xdr:row>
      <xdr:rowOff>170280</xdr:rowOff>
    </xdr:from>
    <xdr:to>
      <xdr:col>9</xdr:col>
      <xdr:colOff>219960</xdr:colOff>
      <xdr:row>54</xdr:row>
      <xdr:rowOff>51120</xdr:rowOff>
    </xdr:to>
    <xdr:sp>
      <xdr:nvSpPr>
        <xdr:cNvPr id="24" name="CustomShape 1"/>
        <xdr:cNvSpPr/>
      </xdr:nvSpPr>
      <xdr:spPr>
        <a:xfrm>
          <a:off x="9567720" y="1007604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</xdr:col>
      <xdr:colOff>255600</xdr:colOff>
      <xdr:row>52</xdr:row>
      <xdr:rowOff>170280</xdr:rowOff>
    </xdr:from>
    <xdr:to>
      <xdr:col>9</xdr:col>
      <xdr:colOff>219960</xdr:colOff>
      <xdr:row>54</xdr:row>
      <xdr:rowOff>51120</xdr:rowOff>
    </xdr:to>
    <xdr:sp>
      <xdr:nvSpPr>
        <xdr:cNvPr id="25" name="CustomShape 1"/>
        <xdr:cNvSpPr/>
      </xdr:nvSpPr>
      <xdr:spPr>
        <a:xfrm>
          <a:off x="9567720" y="10076040"/>
          <a:ext cx="911880" cy="26208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AV294"/>
  <sheetViews>
    <sheetView windowProtection="false" showFormulas="false" showGridLines="true" showRowColHeaders="true" showZeros="true" rightToLeft="false" tabSelected="true" showOutlineSymbols="true" defaultGridColor="true" view="normal" topLeftCell="Q1" colorId="64" zoomScale="95" zoomScaleNormal="95" zoomScalePageLayoutView="100" workbookViewId="0">
      <selection pane="topLeft" activeCell="R15" activeCellId="0" sqref="R15"/>
    </sheetView>
  </sheetViews>
  <sheetFormatPr defaultRowHeight="15"/>
  <cols>
    <col collapsed="false" hidden="false" max="1" min="1" style="0" width="14.1479591836735"/>
    <col collapsed="false" hidden="false" max="2" min="2" style="0" width="23.280612244898"/>
    <col collapsed="false" hidden="false" max="3" min="3" style="0" width="13.0051020408163"/>
    <col collapsed="false" hidden="false" max="4" min="4" style="0" width="23.280612244898"/>
    <col collapsed="false" hidden="false" max="5" min="5" style="0" width="13.0051020408163"/>
    <col collapsed="false" hidden="false" max="6" min="6" style="0" width="23.280612244898"/>
    <col collapsed="false" hidden="false" max="7" min="7" style="0" width="13.0051020408163"/>
    <col collapsed="false" hidden="false" max="8" min="8" style="0" width="23.280612244898"/>
    <col collapsed="false" hidden="false" max="9" min="9" style="0" width="13.0051020408163"/>
    <col collapsed="false" hidden="false" max="10" min="10" style="0" width="23.280612244898"/>
    <col collapsed="false" hidden="false" max="11" min="11" style="0" width="13.0051020408163"/>
    <col collapsed="false" hidden="false" max="12" min="12" style="0" width="8.70918367346939"/>
    <col collapsed="false" hidden="false" max="13" min="13" style="0" width="24.5663265306122"/>
    <col collapsed="false" hidden="false" max="14" min="14" style="0" width="8.72959183673469"/>
    <col collapsed="false" hidden="false" max="15" min="15" style="0" width="17.8571428571429"/>
    <col collapsed="false" hidden="false" max="16" min="16" style="0" width="15.8571428571429"/>
    <col collapsed="false" hidden="false" max="17" min="17" style="0" width="21.6683673469388"/>
    <col collapsed="false" hidden="false" max="18" min="18" style="0" width="25.234693877551"/>
    <col collapsed="false" hidden="false" max="19" min="19" style="0" width="24.3265306122449"/>
    <col collapsed="false" hidden="false" max="20" min="20" style="0" width="24.5663265306122"/>
    <col collapsed="false" hidden="false" max="21" min="21" style="0" width="18.8622448979592"/>
    <col collapsed="false" hidden="false" max="22" min="22" style="0" width="24.5663265306122"/>
    <col collapsed="false" hidden="false" max="23" min="23" style="0" width="18.6989795918367"/>
    <col collapsed="false" hidden="false" max="24" min="24" style="0" width="24.5663265306122"/>
    <col collapsed="false" hidden="false" max="25" min="25" style="0" width="16.9183673469388"/>
    <col collapsed="false" hidden="false" max="26" min="26" style="0" width="24.5663265306122"/>
    <col collapsed="false" hidden="false" max="27" min="27" style="0" width="28.2040816326531"/>
    <col collapsed="false" hidden="false" max="28" min="28" style="0" width="15.7142857142857"/>
    <col collapsed="false" hidden="false" max="29" min="29" style="0" width="16.8571428571429"/>
    <col collapsed="false" hidden="false" max="32" min="30" style="0" width="13.7040816326531"/>
    <col collapsed="false" hidden="false" max="33" min="33" style="0" width="13.8571428571429"/>
    <col collapsed="false" hidden="false" max="35" min="34" style="0" width="11.1428571428571"/>
    <col collapsed="false" hidden="false" max="36" min="36" style="0" width="10.5408163265306"/>
    <col collapsed="false" hidden="false" max="37" min="37" style="0" width="13.9132653061224"/>
    <col collapsed="false" hidden="false" max="38" min="38" style="0" width="14.2908163265306"/>
    <col collapsed="false" hidden="false" max="39" min="39" style="0" width="15.2295918367347"/>
    <col collapsed="false" hidden="false" max="40" min="40" style="0" width="15.4183673469388"/>
    <col collapsed="false" hidden="false" max="41" min="41" style="0" width="8.70918367346939"/>
    <col collapsed="false" hidden="false" max="42" min="42" style="0" width="11.1326530612245"/>
    <col collapsed="false" hidden="false" max="43" min="43" style="0" width="12.9132653061225"/>
    <col collapsed="false" hidden="false" max="44" min="44" style="0" width="10.9795918367347"/>
    <col collapsed="false" hidden="false" max="45" min="45" style="0" width="11.4285714285714"/>
    <col collapsed="false" hidden="false" max="1025" min="46" style="0" width="8.70918367346939"/>
  </cols>
  <sheetData>
    <row r="1" customFormat="false" ht="14.9" hidden="false" customHeight="false" outlineLevel="0" collapsed="false">
      <c r="AB1" s="1" t="n">
        <f aca="false">142.97*AD5 + 52825.2*AE5 + (1.97616633740794*10^7)*AF5 + (7.48159910909569*10^9)*AG5</f>
        <v>7068.53494969603</v>
      </c>
    </row>
    <row r="2" customFormat="false" ht="13.8" hidden="false" customHeight="false" outlineLevel="0" collapsed="false">
      <c r="E2" s="0" t="s">
        <v>0</v>
      </c>
      <c r="AC2" s="2" t="s">
        <v>1</v>
      </c>
      <c r="AD2" s="3"/>
      <c r="AE2" s="2" t="s">
        <v>2</v>
      </c>
      <c r="AF2" s="2"/>
      <c r="AG2" s="2"/>
    </row>
    <row r="3" customFormat="false" ht="15" hidden="false" customHeight="false" outlineLevel="0" collapsed="false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Q3" s="5"/>
      <c r="R3" s="5"/>
      <c r="S3" s="5"/>
      <c r="T3" s="5"/>
      <c r="U3" s="5"/>
      <c r="V3" s="5" t="s">
        <v>4</v>
      </c>
      <c r="W3" s="5"/>
      <c r="X3" s="5"/>
      <c r="Y3" s="5"/>
      <c r="Z3" s="5"/>
      <c r="AA3" s="5"/>
      <c r="AC3" s="0" t="s">
        <v>5</v>
      </c>
    </row>
    <row r="4" customFormat="false" ht="13.8" hidden="false" customHeight="false" outlineLevel="0" collapsed="false">
      <c r="Q4" s="6" t="s">
        <v>6</v>
      </c>
      <c r="R4" s="7" t="s">
        <v>7</v>
      </c>
      <c r="S4" s="7"/>
      <c r="T4" s="7" t="s">
        <v>8</v>
      </c>
      <c r="U4" s="7"/>
      <c r="V4" s="7" t="s">
        <v>9</v>
      </c>
      <c r="W4" s="7"/>
      <c r="X4" s="7" t="s">
        <v>10</v>
      </c>
      <c r="Y4" s="7"/>
      <c r="Z4" s="7" t="s">
        <v>11</v>
      </c>
      <c r="AA4" s="7"/>
      <c r="AC4" s="0" t="s">
        <v>12</v>
      </c>
      <c r="AD4" s="8" t="s">
        <v>13</v>
      </c>
      <c r="AE4" s="8" t="s">
        <v>14</v>
      </c>
      <c r="AF4" s="8" t="s">
        <v>15</v>
      </c>
      <c r="AG4" s="8" t="s">
        <v>16</v>
      </c>
      <c r="AH4" s="0" t="s">
        <v>17</v>
      </c>
      <c r="AK4" s="0" t="s">
        <v>18</v>
      </c>
      <c r="AL4" s="0" t="s">
        <v>19</v>
      </c>
      <c r="AM4" s="0" t="s">
        <v>20</v>
      </c>
      <c r="AN4" s="0" t="s">
        <v>21</v>
      </c>
    </row>
    <row r="5" customFormat="false" ht="13.8" hidden="false" customHeight="false" outlineLevel="0" collapsed="false">
      <c r="A5" s="9" t="s">
        <v>6</v>
      </c>
      <c r="B5" s="10" t="s">
        <v>22</v>
      </c>
      <c r="C5" s="10"/>
      <c r="D5" s="10" t="s">
        <v>23</v>
      </c>
      <c r="E5" s="10"/>
      <c r="F5" s="10" t="s">
        <v>24</v>
      </c>
      <c r="G5" s="10"/>
      <c r="H5" s="10" t="s">
        <v>25</v>
      </c>
      <c r="I5" s="10"/>
      <c r="J5" s="10" t="s">
        <v>26</v>
      </c>
      <c r="K5" s="10"/>
      <c r="L5" s="11"/>
      <c r="M5" s="12" t="s">
        <v>27</v>
      </c>
      <c r="N5" s="13" t="n">
        <v>200</v>
      </c>
      <c r="O5" s="13"/>
      <c r="Q5" s="14" t="s">
        <v>28</v>
      </c>
      <c r="R5" s="15" t="n">
        <v>1</v>
      </c>
      <c r="S5" s="15" t="n">
        <v>298</v>
      </c>
      <c r="T5" s="15" t="n">
        <v>1</v>
      </c>
      <c r="U5" s="15" t="n">
        <v>298</v>
      </c>
      <c r="V5" s="15" t="n">
        <v>1</v>
      </c>
      <c r="W5" s="15" t="n">
        <v>298</v>
      </c>
      <c r="X5" s="15" t="n">
        <v>20</v>
      </c>
      <c r="Y5" s="15" t="n">
        <v>298</v>
      </c>
      <c r="Z5" s="15" t="n">
        <v>1</v>
      </c>
      <c r="AA5" s="15" t="n">
        <v>298</v>
      </c>
      <c r="AB5" s="0" t="n">
        <v>440.97</v>
      </c>
      <c r="AC5" s="16" t="s">
        <v>29</v>
      </c>
      <c r="AD5" s="17" t="n">
        <v>21.152</v>
      </c>
      <c r="AE5" s="17" t="n">
        <f aca="false">(70.924*10^(-3))</f>
        <v>0.070924</v>
      </c>
      <c r="AF5" s="17" t="n">
        <f aca="false">25.87*10^(-6)</f>
        <v>2.587E-005</v>
      </c>
      <c r="AG5" s="17" t="n">
        <f aca="false">-2.852*10^(-8)</f>
        <v>-2.852E-008</v>
      </c>
      <c r="AH5" s="0" t="n">
        <v>298</v>
      </c>
      <c r="AK5" s="0" t="n">
        <f aca="false">AG34*H7</f>
        <v>208048.977367179</v>
      </c>
      <c r="AL5" s="0" t="n">
        <f aca="false">AG34*46.69</f>
        <v>140779.808018457</v>
      </c>
      <c r="AM5" s="0" t="n">
        <f aca="false">AJ32*136.5367</f>
        <v>479044.934230148</v>
      </c>
      <c r="AN5" s="0" t="n">
        <f aca="false">AJ32*91.0244</f>
        <v>319363.055583873</v>
      </c>
      <c r="AP5" s="0" t="n">
        <f aca="false">AK5/3600</f>
        <v>57.7913826019941</v>
      </c>
      <c r="AQ5" s="0" t="n">
        <f aca="false">AL5/3600</f>
        <v>39.1055022273492</v>
      </c>
      <c r="AR5" s="0" t="n">
        <f aca="false">AM5/3600</f>
        <v>133.068037286152</v>
      </c>
      <c r="AS5" s="0" t="n">
        <f aca="false">AN5/3600</f>
        <v>88.7119598844092</v>
      </c>
    </row>
    <row r="6" customFormat="false" ht="13.8" hidden="false" customHeight="false" outlineLevel="0" collapsed="false">
      <c r="A6" s="9" t="s">
        <v>30</v>
      </c>
      <c r="B6" s="18" t="s">
        <v>31</v>
      </c>
      <c r="C6" s="18" t="s">
        <v>32</v>
      </c>
      <c r="D6" s="18" t="s">
        <v>31</v>
      </c>
      <c r="E6" s="18" t="s">
        <v>32</v>
      </c>
      <c r="F6" s="18" t="s">
        <v>31</v>
      </c>
      <c r="G6" s="18" t="s">
        <v>32</v>
      </c>
      <c r="H6" s="18" t="s">
        <v>31</v>
      </c>
      <c r="I6" s="18" t="s">
        <v>32</v>
      </c>
      <c r="J6" s="19" t="s">
        <v>31</v>
      </c>
      <c r="K6" s="18" t="s">
        <v>32</v>
      </c>
      <c r="M6" s="20" t="s">
        <v>33</v>
      </c>
      <c r="N6" s="13" t="n">
        <v>0.97</v>
      </c>
      <c r="O6" s="17"/>
      <c r="Q6" s="6" t="s">
        <v>30</v>
      </c>
      <c r="R6" s="21" t="s">
        <v>34</v>
      </c>
      <c r="S6" s="21" t="s">
        <v>35</v>
      </c>
      <c r="T6" s="21" t="s">
        <v>36</v>
      </c>
      <c r="U6" s="21" t="s">
        <v>35</v>
      </c>
      <c r="V6" s="21" t="s">
        <v>36</v>
      </c>
      <c r="W6" s="21" t="s">
        <v>35</v>
      </c>
      <c r="X6" s="21" t="s">
        <v>36</v>
      </c>
      <c r="Y6" s="21" t="s">
        <v>35</v>
      </c>
      <c r="Z6" s="21" t="s">
        <v>36</v>
      </c>
      <c r="AA6" s="21" t="s">
        <v>35</v>
      </c>
      <c r="AB6" s="0" t="n">
        <v>376.51</v>
      </c>
      <c r="AC6" s="20" t="s">
        <v>37</v>
      </c>
      <c r="AD6" s="13" t="n">
        <v>1.052</v>
      </c>
      <c r="AE6" s="17" t="n">
        <f aca="false">28.043*10^(-2)</f>
        <v>0.28043</v>
      </c>
      <c r="AF6" s="13" t="n">
        <f aca="false">-1.091*10^(-4)</f>
        <v>-0.0001091</v>
      </c>
      <c r="AG6" s="17" t="n">
        <f aca="false">90.979*10^(-10)</f>
        <v>9.0979E-009</v>
      </c>
      <c r="AH6" s="0" t="n">
        <v>298</v>
      </c>
      <c r="AK6" s="0" t="n">
        <f aca="false">AG35*J8</f>
        <v>122754.895587834</v>
      </c>
      <c r="AL6" s="0" t="n">
        <f aca="false">AG35*0.69</f>
        <v>3682.64686763503</v>
      </c>
      <c r="AM6" s="0" t="n">
        <f aca="false">AJ33*2.0699</f>
        <v>12908.827786858</v>
      </c>
      <c r="AN6" s="0" t="n">
        <f aca="false">AJ33*1.3799</f>
        <v>8605.67730957308</v>
      </c>
      <c r="AP6" s="0" t="n">
        <f aca="false">AK6/3600</f>
        <v>34.0985821077318</v>
      </c>
      <c r="AQ6" s="0" t="n">
        <f aca="false">AL6/3600</f>
        <v>1.02295746323195</v>
      </c>
      <c r="AR6" s="0" t="n">
        <f aca="false">AM6/3600</f>
        <v>3.58578549634944</v>
      </c>
      <c r="AS6" s="0" t="n">
        <f aca="false">AN6/3600</f>
        <v>2.39046591932586</v>
      </c>
    </row>
    <row r="7" customFormat="false" ht="13.8" hidden="false" customHeight="false" outlineLevel="0" collapsed="false">
      <c r="A7" s="9" t="s">
        <v>38</v>
      </c>
      <c r="B7" s="22" t="n">
        <f aca="false">F7</f>
        <v>69</v>
      </c>
      <c r="C7" s="22" t="n">
        <f aca="false">B7/B13</f>
        <v>1</v>
      </c>
      <c r="D7" s="22" t="n">
        <f aca="false">E7*D13</f>
        <v>0</v>
      </c>
      <c r="E7" s="22" t="n">
        <v>0</v>
      </c>
      <c r="F7" s="22" t="n">
        <f aca="false">D8*((N5+100)/100)</f>
        <v>69</v>
      </c>
      <c r="G7" s="22" t="n">
        <f aca="false">F7/F13</f>
        <v>1</v>
      </c>
      <c r="H7" s="22" t="n">
        <f aca="false">F7</f>
        <v>69</v>
      </c>
      <c r="I7" s="22" t="n">
        <f aca="false">G7</f>
        <v>1</v>
      </c>
      <c r="J7" s="22" t="n">
        <f aca="false">D7</f>
        <v>0</v>
      </c>
      <c r="K7" s="22" t="n">
        <f aca="false">E7</f>
        <v>0</v>
      </c>
      <c r="M7" s="16" t="s">
        <v>39</v>
      </c>
      <c r="N7" s="17" t="n">
        <f aca="false">N6*D18</f>
        <v>22.31</v>
      </c>
      <c r="O7" s="17"/>
      <c r="Q7" s="6" t="s">
        <v>38</v>
      </c>
      <c r="R7" s="23" t="n">
        <f aca="false">($AD$5*(S5-$AH$5))+($AE$5/2)*((S5^2-$AH$5^2))+($AF$5/3)*((S5^3-$AH$5^3))+($AG$5/4)*((S5^4-$AH$5^4))</f>
        <v>0</v>
      </c>
      <c r="S7" s="24" t="n">
        <f aca="false">R7*46.69</f>
        <v>0</v>
      </c>
      <c r="T7" s="23" t="n">
        <f aca="false">($AD$5*(U5-$AH$5))+($AE$5/2)*((U5^2-$AH$5^2))+($AF$5/3)*((U5^3-$AH$5^3))+($AG$5/4)*((U5^4-$AH$5^4))</f>
        <v>0</v>
      </c>
      <c r="U7" s="24" t="n">
        <f aca="false">T7*46.69</f>
        <v>0</v>
      </c>
      <c r="V7" s="23" t="n">
        <f aca="false">($AD$5*(W5-$AH$5))+($AE$5/2)*((W5^2-$AH$5^2))+($AF$5/3)*((W5^3-$AH$5^3))+($AG$5/4)*((W5^4-$AH$5^4))</f>
        <v>0</v>
      </c>
      <c r="W7" s="24" t="n">
        <f aca="false">V7*46.69</f>
        <v>0</v>
      </c>
      <c r="X7" s="23" t="n">
        <f aca="false">($AD$5*(Y5-$AH$5))+($AE$5/2)*((Y5^2-$AH$5^2))+($AF$5/3)*((Y5^3-$AH$5^3))+($AG$5/4)*((Y5^4-$AH$5^4))</f>
        <v>0</v>
      </c>
      <c r="Y7" s="24" t="n">
        <f aca="false">X7*46.69</f>
        <v>0</v>
      </c>
      <c r="Z7" s="23" t="n">
        <f aca="false">($AD$5*(AA5-$AH$5))+($AE$5/2)*((AA5^2-$AH$5^2))+($AF$5/3)*((AA5^3-$AH$5^3))+($AG$5/4)*((AA5^4-$AH$5^4))</f>
        <v>0</v>
      </c>
      <c r="AA7" s="24" t="n">
        <f aca="false">Z7*46.69</f>
        <v>0</v>
      </c>
      <c r="AB7" s="0" t="n">
        <v>376.61</v>
      </c>
      <c r="AC7" s="12" t="s">
        <v>40</v>
      </c>
      <c r="AD7" s="0" t="n">
        <v>-2.994</v>
      </c>
      <c r="AE7" s="13" t="n">
        <v>0.353</v>
      </c>
      <c r="AF7" s="13" t="n">
        <f aca="false">-1.982*10^(-4)</f>
        <v>-0.0001982</v>
      </c>
      <c r="AG7" s="13" t="n">
        <f aca="false">44.631*10^(-9)</f>
        <v>4.4631E-008</v>
      </c>
      <c r="AH7" s="0" t="n">
        <v>298</v>
      </c>
      <c r="AK7" s="0" t="n">
        <f aca="false">AG36*J9</f>
        <v>121654.087840505</v>
      </c>
      <c r="AL7" s="0" t="n">
        <f aca="false">AG36*20</f>
        <v>121654.087840505</v>
      </c>
      <c r="AM7" s="0" t="n">
        <f aca="false">AJ34*59.9889</f>
        <v>426258.563545495</v>
      </c>
      <c r="AN7" s="0" t="n">
        <f aca="false">AJ34*39.9926</f>
        <v>284172.375696997</v>
      </c>
      <c r="AP7" s="0" t="n">
        <f aca="false">AK7/3600</f>
        <v>33.792802177918</v>
      </c>
      <c r="AQ7" s="0" t="n">
        <f aca="false">AL7/3600</f>
        <v>33.7928021779181</v>
      </c>
      <c r="AR7" s="0" t="n">
        <f aca="false">AM7/3600</f>
        <v>118.405156540415</v>
      </c>
      <c r="AS7" s="0" t="n">
        <f aca="false">AN7/3600</f>
        <v>78.9367710269436</v>
      </c>
    </row>
    <row r="8" customFormat="false" ht="13.8" hidden="false" customHeight="false" outlineLevel="0" collapsed="false">
      <c r="A8" s="9" t="s">
        <v>41</v>
      </c>
      <c r="B8" s="22" t="n">
        <f aca="false">F8-H58</f>
        <v>0</v>
      </c>
      <c r="C8" s="22" t="n">
        <f aca="false">B8/B13</f>
        <v>0</v>
      </c>
      <c r="D8" s="22" t="n">
        <f aca="false">E8*D13</f>
        <v>23</v>
      </c>
      <c r="E8" s="22" t="n">
        <v>0.23</v>
      </c>
      <c r="F8" s="22" t="n">
        <v>0</v>
      </c>
      <c r="G8" s="22" t="n">
        <f aca="false">F8/F13</f>
        <v>0</v>
      </c>
      <c r="H8" s="22" t="n">
        <f aca="false">F8</f>
        <v>0</v>
      </c>
      <c r="I8" s="22" t="n">
        <f aca="false">E8</f>
        <v>0.23</v>
      </c>
      <c r="J8" s="22" t="n">
        <f aca="false">D8</f>
        <v>23</v>
      </c>
      <c r="K8" s="22" t="n">
        <f aca="false">E8</f>
        <v>0.23</v>
      </c>
      <c r="M8" s="17"/>
      <c r="N8" s="17"/>
      <c r="O8" s="17"/>
      <c r="Q8" s="6" t="s">
        <v>41</v>
      </c>
      <c r="R8" s="23" t="n">
        <f aca="false">($AD$6*(S5-$AH$6))+($AE$6/2)*((S5^2-$AH$6^2))+($AF$6/3)*((S5^3-$AH$6^3))+($AG$6/4)*((S5^4-$AH$6^4))</f>
        <v>0</v>
      </c>
      <c r="S8" s="24" t="n">
        <f aca="false">R8*0.69</f>
        <v>0</v>
      </c>
      <c r="T8" s="23" t="n">
        <f aca="false">($AD$6*(U5-$AH$6))+($AE$6/2)*((U5^2-$AH$6^2))+($AF$6/3)*((U5^3-$AH$6^3))+($AG$6/4)*((U5^4-$AH$6^4))</f>
        <v>0</v>
      </c>
      <c r="U8" s="24" t="n">
        <f aca="false">T8*0.69</f>
        <v>0</v>
      </c>
      <c r="V8" s="23" t="n">
        <f aca="false">($AD$6*(W5-$AH$6))+($AE$6/2)*((W5^2-$AH$6^2))+($AF$6/3)*((W5^3-$AH$6^3))+($AG$6/4)*((W5^4-$AH$6^4))</f>
        <v>0</v>
      </c>
      <c r="W8" s="24" t="n">
        <f aca="false">V8*0.69</f>
        <v>0</v>
      </c>
      <c r="X8" s="23" t="n">
        <f aca="false">($AD$6*(Y5-$AH$6))+($AE$6/2)*((Y5^2-$AH$6^2))+($AF$6/3)*((Y5^3-$AH$6^3))+($AG$6/4)*((Y5^4-$AH$6^4))</f>
        <v>0</v>
      </c>
      <c r="Y8" s="24" t="n">
        <f aca="false">X8*0.69</f>
        <v>0</v>
      </c>
      <c r="Z8" s="23" t="n">
        <f aca="false">($AD$6*(AA5-$AH$6))+($AE$6/2)*((AA5^2-$AH$6^2))+($AF$6/3)*((AA5^3-$AH$6^3))+($AG$6/4)*((AA5^4-$AH$6^4))</f>
        <v>0</v>
      </c>
      <c r="AA8" s="24" t="n">
        <f aca="false">Z8*0.69</f>
        <v>0</v>
      </c>
      <c r="AB8" s="0" t="n">
        <v>387.26</v>
      </c>
      <c r="AC8" s="16" t="s">
        <v>42</v>
      </c>
      <c r="AD8" s="17" t="n">
        <v>18.317</v>
      </c>
      <c r="AE8" s="17" t="n">
        <f aca="false">25.636*10^(-2)</f>
        <v>0.25636</v>
      </c>
      <c r="AF8" s="17" t="n">
        <f aca="false">-7.013*10^(-5)</f>
        <v>-7.013E-005</v>
      </c>
      <c r="AG8" s="17" t="n">
        <f aca="false">-8.989*10^(-9)</f>
        <v>-8.989E-009</v>
      </c>
      <c r="AH8" s="0" t="n">
        <v>298</v>
      </c>
      <c r="AK8" s="0" t="n">
        <f aca="false">AG37*J10</f>
        <v>352091.058071498</v>
      </c>
      <c r="AL8" s="0" t="n">
        <f aca="false">AG37*57</f>
        <v>352091.058071498</v>
      </c>
      <c r="AM8" s="0" t="n">
        <f aca="false">AJ35*170.985</f>
        <v>1231801.86530078</v>
      </c>
      <c r="AN8" s="0" t="n">
        <f aca="false">AJ35*113.99</f>
        <v>821201.243533853</v>
      </c>
      <c r="AP8" s="0" t="n">
        <f aca="false">AL8/3600</f>
        <v>97.8030716865272</v>
      </c>
      <c r="AQ8" s="0" t="n">
        <f aca="false">AL8/3600</f>
        <v>97.8030716865272</v>
      </c>
      <c r="AR8" s="0" t="n">
        <f aca="false">AM8/3600</f>
        <v>342.167184805772</v>
      </c>
      <c r="AS8" s="0" t="n">
        <f aca="false">AN8/3600</f>
        <v>228.111456537181</v>
      </c>
    </row>
    <row r="9" customFormat="false" ht="13.8" hidden="false" customHeight="false" outlineLevel="0" collapsed="false">
      <c r="A9" s="9" t="s">
        <v>43</v>
      </c>
      <c r="B9" s="22" t="n">
        <f aca="false">F9-H59</f>
        <v>0</v>
      </c>
      <c r="C9" s="22" t="n">
        <f aca="false">B9/B13</f>
        <v>0</v>
      </c>
      <c r="D9" s="22" t="n">
        <f aca="false">E9*D13</f>
        <v>20</v>
      </c>
      <c r="E9" s="22" t="n">
        <v>0.2</v>
      </c>
      <c r="F9" s="22" t="n">
        <v>0</v>
      </c>
      <c r="G9" s="22" t="n">
        <f aca="false">F9/F13</f>
        <v>0</v>
      </c>
      <c r="H9" s="22" t="n">
        <f aca="false">F9</f>
        <v>0</v>
      </c>
      <c r="I9" s="22" t="n">
        <f aca="false">E9</f>
        <v>0.2</v>
      </c>
      <c r="J9" s="22" t="n">
        <f aca="false">D9</f>
        <v>20</v>
      </c>
      <c r="K9" s="22" t="n">
        <f aca="false">E9</f>
        <v>0.2</v>
      </c>
      <c r="M9" s="16" t="s">
        <v>44</v>
      </c>
      <c r="N9" s="25" t="s">
        <v>45</v>
      </c>
      <c r="O9" s="25"/>
      <c r="Q9" s="6" t="s">
        <v>43</v>
      </c>
      <c r="R9" s="23" t="n">
        <f aca="false">($AD$7*(S5-$AH$7))+($AE$7/2)*((S5^2-$AH$7^2))+($AF$7/3)*((S5^3-$AH$7^3))+($AG$7/4)*((S5^4-$AH$7^4))</f>
        <v>0</v>
      </c>
      <c r="S9" s="24" t="n">
        <f aca="false">R9*20</f>
        <v>0</v>
      </c>
      <c r="T9" s="23" t="n">
        <f aca="false">($AD$7*(U5-$AH$7))+($AE$7/2)*((U5^2-$AH$7^2))+($AF$7/3)*((U5^3-$AH$7^3))+($AG$7/4)*((U5^4-$AH$7^4))</f>
        <v>0</v>
      </c>
      <c r="U9" s="24" t="n">
        <f aca="false">T9*20</f>
        <v>0</v>
      </c>
      <c r="V9" s="23" t="n">
        <f aca="false">($AD$7*(W5-$AH$7))+($AE$7/2)*((W5^2-$AH$7^2))+($AF$7/3)*((W5^3-$AH$7^3))+($AG$7/4)*((W5^4-$AH$7^4))</f>
        <v>0</v>
      </c>
      <c r="W9" s="24" t="n">
        <f aca="false">V9*20</f>
        <v>0</v>
      </c>
      <c r="X9" s="23" t="n">
        <f aca="false">($AD$7*(Y5-$AH$7))+($AE$7/2)*((Y5^2-$AH$7^2))+($AF$7/3)*((Y5^3-$AH$7^3))+($AG$7/4)*((Y5^4-$AH$7^4))</f>
        <v>0</v>
      </c>
      <c r="Y9" s="24" t="n">
        <f aca="false">X9*20</f>
        <v>0</v>
      </c>
      <c r="Z9" s="23" t="n">
        <f aca="false">($AD$7*(AA5-$AH$7))+($AE$7/2)*((AA5^2-$AH$7^2))+($AF$7/3)*((AA5^3-$AH$7^3))+($AG$7/4)*((AA5^4-$AH$7^4))</f>
        <v>0</v>
      </c>
      <c r="AA9" s="24" t="n">
        <f aca="false">Z9*20</f>
        <v>0</v>
      </c>
      <c r="AC9" s="16" t="s">
        <v>46</v>
      </c>
      <c r="AD9" s="17" t="n">
        <v>2.553</v>
      </c>
      <c r="AE9" s="17" t="n">
        <v>0.51372</v>
      </c>
      <c r="AF9" s="17" t="n">
        <f aca="false">-2.596*10^(-4)</f>
        <v>-0.0002596</v>
      </c>
      <c r="AG9" s="17" t="n">
        <f aca="false">43.04*10^(-9)</f>
        <v>4.304E-008</v>
      </c>
      <c r="AH9" s="0" t="n">
        <v>298</v>
      </c>
      <c r="AK9" s="0" t="n">
        <f aca="false">AG38*J11</f>
        <v>0</v>
      </c>
      <c r="AL9" s="0" t="n">
        <f aca="false">AG38*22.31</f>
        <v>210936.9060331</v>
      </c>
      <c r="AP9" s="0" t="n">
        <f aca="false">AK9/3600</f>
        <v>0</v>
      </c>
      <c r="AQ9" s="0" t="n">
        <f aca="false">AL9/3600</f>
        <v>58.5935850091945</v>
      </c>
      <c r="AR9" s="0" t="n">
        <f aca="false">AM9/3600</f>
        <v>0</v>
      </c>
      <c r="AS9" s="0" t="n">
        <f aca="false">AN9/3600</f>
        <v>0</v>
      </c>
    </row>
    <row r="10" customFormat="false" ht="13.8" hidden="false" customHeight="false" outlineLevel="0" collapsed="false">
      <c r="A10" s="9" t="s">
        <v>42</v>
      </c>
      <c r="B10" s="22" t="n">
        <f aca="false">F10-H60</f>
        <v>0</v>
      </c>
      <c r="C10" s="22" t="n">
        <f aca="false">B10/B13</f>
        <v>0</v>
      </c>
      <c r="D10" s="22" t="n">
        <f aca="false">E10*D13</f>
        <v>57</v>
      </c>
      <c r="E10" s="22" t="n">
        <v>0.57</v>
      </c>
      <c r="F10" s="22" t="n">
        <v>0</v>
      </c>
      <c r="G10" s="22" t="n">
        <f aca="false">F10/F13</f>
        <v>0</v>
      </c>
      <c r="H10" s="22" t="n">
        <f aca="false">F10</f>
        <v>0</v>
      </c>
      <c r="I10" s="22" t="n">
        <f aca="false">E10</f>
        <v>0.57</v>
      </c>
      <c r="J10" s="22" t="n">
        <f aca="false">D10</f>
        <v>57</v>
      </c>
      <c r="K10" s="22" t="n">
        <f aca="false">E10</f>
        <v>0.57</v>
      </c>
      <c r="M10" s="16" t="s">
        <v>47</v>
      </c>
      <c r="N10" s="26" t="n">
        <v>2</v>
      </c>
      <c r="O10" s="26"/>
      <c r="Q10" s="6" t="s">
        <v>42</v>
      </c>
      <c r="R10" s="23" t="n">
        <f aca="false">($AD$8*(S5-$AH$8))+($AE$8/2)*((S5^2-$AH$8^2))+($AF$8/3)*((S5^3-$AH$8^3))+($AG$8/4)*((S5^4-$AH$8^4))</f>
        <v>0</v>
      </c>
      <c r="S10" s="24" t="n">
        <f aca="false">R10*57</f>
        <v>0</v>
      </c>
      <c r="T10" s="23" t="n">
        <f aca="false">($AD$8*(U5-$AH$8))+($AE$8/2)*((U5^2-$AH$8^2))+($AF$8/3)*((U5^3-$AH$8^3))+($AG$8/4)*((U5^4-$AH$8^4))</f>
        <v>0</v>
      </c>
      <c r="U10" s="24" t="n">
        <f aca="false">T10*57</f>
        <v>0</v>
      </c>
      <c r="V10" s="23" t="n">
        <f aca="false">($AD$8*(W5-$AH$8))+($AE$8/2)*((W5^2-$AH$8^2))+($AF$8/3)*((W5^3-$AH$8^3))+($AG$8/4)*((W5^4-$AH$8^4))</f>
        <v>0</v>
      </c>
      <c r="W10" s="24" t="n">
        <f aca="false">V10*57</f>
        <v>0</v>
      </c>
      <c r="X10" s="23" t="n">
        <f aca="false">($AD$8*(Y5-$AH$8))+($AE$8/2)*((Y5^2-$AH$8^2))+($AF$8/3)*((Y5^3-$AH$8^3))+($AG$8/4)*((Y5^4-$AH$8^4))</f>
        <v>0</v>
      </c>
      <c r="Y10" s="24" t="n">
        <f aca="false">X10*57</f>
        <v>0</v>
      </c>
      <c r="Z10" s="23" t="n">
        <f aca="false">($AD$8*(AA5-$AH$8))+($AE$8/2)*((AA5^2-$AH$8^2))+($AF$8/3)*((AA5^3-$AH$8^3))+($AG$8/4)*((AA5^4-$AH$8^4))</f>
        <v>0</v>
      </c>
      <c r="AA10" s="24" t="n">
        <f aca="false">Z10*57</f>
        <v>0</v>
      </c>
      <c r="AC10" s="16" t="s">
        <v>48</v>
      </c>
      <c r="AD10" s="13" t="n">
        <v>32.243</v>
      </c>
      <c r="AE10" s="17" t="n">
        <f aca="false">19.238*10^(-4)</f>
        <v>0.0019238</v>
      </c>
      <c r="AF10" s="17" t="n">
        <f aca="false">10.553*10^(-6)</f>
        <v>1.0553E-005</v>
      </c>
      <c r="AG10" s="17" t="n">
        <f aca="false">-3.596*10^(-9)</f>
        <v>-3.596E-009</v>
      </c>
      <c r="AH10" s="0" t="n">
        <v>298</v>
      </c>
      <c r="AI10" s="27"/>
      <c r="AK10" s="27"/>
    </row>
    <row r="11" customFormat="false" ht="13.8" hidden="false" customHeight="false" outlineLevel="0" collapsed="false">
      <c r="A11" s="9" t="s">
        <v>46</v>
      </c>
      <c r="B11" s="22" t="n">
        <f aca="false">F11-H61</f>
        <v>0</v>
      </c>
      <c r="C11" s="22" t="n">
        <f aca="false">B11/B13</f>
        <v>0</v>
      </c>
      <c r="D11" s="22" t="n">
        <f aca="false">E11*D13</f>
        <v>0</v>
      </c>
      <c r="E11" s="22" t="n">
        <v>0</v>
      </c>
      <c r="F11" s="22" t="n">
        <v>0</v>
      </c>
      <c r="G11" s="22" t="n">
        <f aca="false">F11/F13</f>
        <v>0</v>
      </c>
      <c r="H11" s="22" t="n">
        <f aca="false">F11</f>
        <v>0</v>
      </c>
      <c r="I11" s="22" t="n">
        <f aca="false">E11</f>
        <v>0</v>
      </c>
      <c r="J11" s="22" t="n">
        <f aca="false">D11</f>
        <v>0</v>
      </c>
      <c r="K11" s="22" t="n">
        <f aca="false">E11</f>
        <v>0</v>
      </c>
      <c r="M11" s="17"/>
      <c r="N11" s="26"/>
      <c r="O11" s="26"/>
      <c r="Q11" s="6" t="s">
        <v>46</v>
      </c>
      <c r="R11" s="23" t="n">
        <f aca="false">($AD$9*(S5-$AH$9))+($AE$9/2)*((S5^2-$AH$9^2))+($AF$9/3)*((S5^3-$AH$9^3))+($AG$9/4)*((S5^4-$AH$9^4))</f>
        <v>0</v>
      </c>
      <c r="S11" s="24" t="n">
        <f aca="false">R11*22.31</f>
        <v>0</v>
      </c>
      <c r="T11" s="23" t="n">
        <f aca="false">($AD$9*(U5-$AH$9))+($AE$9/2)*((U5^2-$AH$9^2))+($AF$9/3)*((U5^3-$AH$9^3))+($AG$9/4)*((U5^4-$AH$9^4))</f>
        <v>0</v>
      </c>
      <c r="U11" s="24" t="n">
        <f aca="false">T11*22.31</f>
        <v>0</v>
      </c>
      <c r="V11" s="23" t="n">
        <f aca="false">($AD$9*(W5-$AH$9))+($AE$9/2)*((W5^2-$AH$9^2))+($AF$9/3)*((W5^3-$AH$9^3))+($AG$9/4)*((W5^4-$AH$9^4))</f>
        <v>0</v>
      </c>
      <c r="W11" s="24" t="n">
        <f aca="false">V11*22.31</f>
        <v>0</v>
      </c>
      <c r="X11" s="23" t="n">
        <f aca="false">($AD$9*(Y5-$AH$9))+($AE$9/2)*((Y5^2-$AH$9^2))+($AF$9/3)*((Y5^3-$AH$9^3))+($AG$9/4)*((Y5^4-$AH$9^4))</f>
        <v>0</v>
      </c>
      <c r="Y11" s="24" t="n">
        <f aca="false">X11*22.31</f>
        <v>0</v>
      </c>
      <c r="Z11" s="23" t="n">
        <f aca="false">($AD$9*(AA5-$AH$9))+($AE$9/2)*((AA5^2-$AH$9^2))+($AF$9/3)*((AA5^3-$AH$9^3))+($AG$9/4)*((AA5^4-$AH$9^4))</f>
        <v>0</v>
      </c>
      <c r="AA11" s="24" t="n">
        <f aca="false">Z11*22.31</f>
        <v>0</v>
      </c>
      <c r="AJ11" s="0" t="s">
        <v>49</v>
      </c>
      <c r="AK11" s="0" t="n">
        <f aca="false">SUM(AK5:AK10)</f>
        <v>804549.018867016</v>
      </c>
      <c r="AL11" s="0" t="n">
        <f aca="false">SUM(AL5:AL10)</f>
        <v>829144.506831196</v>
      </c>
      <c r="AM11" s="0" t="n">
        <f aca="false">SUM(AM5:AM10)</f>
        <v>2150014.19086328</v>
      </c>
      <c r="AN11" s="0" t="n">
        <f aca="false">SUM(AN5:AN10)</f>
        <v>1433342.3521243</v>
      </c>
    </row>
    <row r="12" customFormat="false" ht="13.8" hidden="false" customHeight="false" outlineLevel="0" collapsed="false">
      <c r="A12" s="9" t="s">
        <v>50</v>
      </c>
      <c r="B12" s="22" t="n">
        <f aca="false">F12-H62</f>
        <v>0</v>
      </c>
      <c r="C12" s="22" t="n">
        <f aca="false">B12/B13</f>
        <v>0</v>
      </c>
      <c r="D12" s="22" t="n">
        <f aca="false">E12*D13</f>
        <v>0</v>
      </c>
      <c r="E12" s="22" t="n">
        <v>0</v>
      </c>
      <c r="F12" s="22" t="n">
        <v>0</v>
      </c>
      <c r="G12" s="22" t="n">
        <f aca="false">F12/F13</f>
        <v>0</v>
      </c>
      <c r="H12" s="22" t="n">
        <f aca="false">F12</f>
        <v>0</v>
      </c>
      <c r="I12" s="22" t="n">
        <f aca="false">E12</f>
        <v>0</v>
      </c>
      <c r="J12" s="22" t="n">
        <f aca="false">D12</f>
        <v>0</v>
      </c>
      <c r="K12" s="22" t="n">
        <f aca="false">E12</f>
        <v>0</v>
      </c>
      <c r="M12" s="16" t="s">
        <v>51</v>
      </c>
      <c r="N12" s="28" t="s">
        <v>45</v>
      </c>
      <c r="O12" s="28"/>
      <c r="Q12" s="6" t="s">
        <v>50</v>
      </c>
      <c r="R12" s="23" t="n">
        <f aca="false">($AD$10*(S5-$AH$10))+($AE$10/2)*((S5^2-$AH$10^2))+($AF$10/3)*((S5^3-$AH$10^3))+($AG$10/4)*((S5^4-$AH$10^4))</f>
        <v>0</v>
      </c>
      <c r="S12" s="24"/>
      <c r="T12" s="23" t="n">
        <f aca="false">($AD$10*(U5-$AH$10))+($AE$10/2)*((U5^2-$AH$10^2))+($AF$10/3)*((U5^3-$AH$10^3))+($AG$10/4)*((U5^4-$AH$10^4))</f>
        <v>0</v>
      </c>
      <c r="U12" s="24"/>
      <c r="V12" s="23" t="n">
        <f aca="false">($AD$10*(W5-$AH$10))+($AE$10/2)*((W5^2-$AH$10^2))+($AF$10/3)*((W5^3-$AH$10^3))+($AG$10/4)*((W5^4-$AH$10^4))</f>
        <v>0</v>
      </c>
      <c r="W12" s="24"/>
      <c r="X12" s="23" t="n">
        <f aca="false">($AD$10*(Y5-$AH$10))+($AE$10/2)*((Y5^2-$AH$10^2))+($AF$10/3)*((Y5^3-$AH$10^3))+($AG$10/4)*((Y5^4-$AH$10^4))</f>
        <v>0</v>
      </c>
      <c r="Y12" s="24"/>
      <c r="Z12" s="23" t="n">
        <f aca="false">($AD$10*(AA5-$AH$10))+($AE$10/2)*((AA5^2-$AH$10^2))+($AF$10/3)*((AA5^3-$AH$10^3))+($AG$10/4)*((AA5^4-$AH$10^4))</f>
        <v>0</v>
      </c>
      <c r="AA12" s="24"/>
      <c r="AJ12" s="0" t="s">
        <v>52</v>
      </c>
      <c r="AK12" s="29" t="n">
        <f aca="false">AK11/3600</f>
        <v>223.485838574171</v>
      </c>
      <c r="AL12" s="29" t="n">
        <f aca="false">AL11/3600</f>
        <v>230.317918564221</v>
      </c>
      <c r="AM12" s="29" t="n">
        <f aca="false">AM11/3600</f>
        <v>597.226164128689</v>
      </c>
      <c r="AN12" s="29" t="n">
        <f aca="false">AN11/3600</f>
        <v>398.15065336786</v>
      </c>
    </row>
    <row r="13" s="27" customFormat="true" ht="13.8" hidden="false" customHeight="false" outlineLevel="0" collapsed="false">
      <c r="A13" s="9" t="s">
        <v>53</v>
      </c>
      <c r="B13" s="30" t="n">
        <f aca="false">SUM(B7:B12)</f>
        <v>69</v>
      </c>
      <c r="C13" s="30" t="n">
        <f aca="false">SUM(C7:C12)</f>
        <v>1</v>
      </c>
      <c r="D13" s="19" t="n">
        <v>100</v>
      </c>
      <c r="E13" s="30" t="n">
        <f aca="false">SUM(E7:E12)</f>
        <v>1</v>
      </c>
      <c r="F13" s="30" t="n">
        <f aca="false">SUM(F7:F12)</f>
        <v>69</v>
      </c>
      <c r="G13" s="30" t="n">
        <f aca="false">SUM(G7:G12)</f>
        <v>1</v>
      </c>
      <c r="H13" s="30" t="n">
        <f aca="false">SUM(H7:H12)</f>
        <v>69</v>
      </c>
      <c r="I13" s="30" t="n">
        <f aca="false">SUM(I7:I12)</f>
        <v>2</v>
      </c>
      <c r="J13" s="30" t="n">
        <f aca="false">SUM(J7:J12)</f>
        <v>100</v>
      </c>
      <c r="K13" s="30" t="n">
        <f aca="false">SUM(K7:K12)</f>
        <v>1</v>
      </c>
      <c r="M13" s="16" t="s">
        <v>54</v>
      </c>
      <c r="N13" s="26" t="n">
        <v>0.5</v>
      </c>
      <c r="O13" s="26"/>
      <c r="Q13" s="6" t="s">
        <v>55</v>
      </c>
      <c r="R13" s="31" t="n">
        <f aca="false">SUM(R7:R12)</f>
        <v>0</v>
      </c>
      <c r="S13" s="24" t="n">
        <f aca="false">SUM(S7:S12)</f>
        <v>0</v>
      </c>
      <c r="T13" s="31" t="n">
        <f aca="false">SUM(T7:T12)</f>
        <v>0</v>
      </c>
      <c r="U13" s="24" t="n">
        <f aca="false">SUM(U7:U12)</f>
        <v>0</v>
      </c>
      <c r="V13" s="31" t="n">
        <f aca="false">SUM(V7:V12)</f>
        <v>0</v>
      </c>
      <c r="W13" s="24" t="n">
        <f aca="false">SUM(W7:W12)</f>
        <v>0</v>
      </c>
      <c r="X13" s="31" t="n">
        <f aca="false">SUM(X7:X12)</f>
        <v>0</v>
      </c>
      <c r="Y13" s="24" t="n">
        <f aca="false">SUM(Y7:Y12)</f>
        <v>0</v>
      </c>
      <c r="Z13" s="31" t="n">
        <f aca="false">SUM(Z7:Z12)</f>
        <v>0</v>
      </c>
      <c r="AA13" s="24" t="n">
        <f aca="false">SUM(AA7:AA12)</f>
        <v>0</v>
      </c>
      <c r="AC13" s="27" t="s">
        <v>56</v>
      </c>
      <c r="AD13" s="2" t="s">
        <v>57</v>
      </c>
      <c r="AE13" s="2"/>
      <c r="AF13" s="2"/>
      <c r="AG13" s="2"/>
      <c r="AH13" s="2"/>
      <c r="AI13" s="2"/>
      <c r="AJ13" s="2"/>
    </row>
    <row r="14" customFormat="false" ht="13.8" hidden="false" customHeight="false" outlineLevel="0" collapsed="false">
      <c r="AC14" s="0" t="s">
        <v>58</v>
      </c>
      <c r="AD14" s="32" t="s">
        <v>59</v>
      </c>
      <c r="AE14" s="32"/>
      <c r="AF14" s="32"/>
      <c r="AG14" s="32"/>
      <c r="AH14" s="32"/>
      <c r="AI14" s="32"/>
      <c r="AJ14" s="32"/>
    </row>
    <row r="15" customFormat="false" ht="13.8" hidden="false" customHeight="false" outlineLevel="0" collapsed="false">
      <c r="A15" s="9" t="s">
        <v>6</v>
      </c>
      <c r="B15" s="10" t="s">
        <v>60</v>
      </c>
      <c r="C15" s="10"/>
      <c r="D15" s="10" t="s">
        <v>61</v>
      </c>
      <c r="E15" s="10"/>
      <c r="F15" s="10" t="s">
        <v>62</v>
      </c>
      <c r="G15" s="10"/>
      <c r="H15" s="10" t="s">
        <v>63</v>
      </c>
      <c r="I15" s="10"/>
      <c r="J15" s="10" t="s">
        <v>64</v>
      </c>
      <c r="K15" s="10"/>
      <c r="N15" s="11"/>
      <c r="O15" s="11"/>
      <c r="Q15" s="6" t="s">
        <v>6</v>
      </c>
      <c r="R15" s="7" t="s">
        <v>65</v>
      </c>
      <c r="S15" s="7"/>
      <c r="T15" s="7" t="s">
        <v>66</v>
      </c>
      <c r="U15" s="7"/>
      <c r="V15" s="7" t="s">
        <v>67</v>
      </c>
      <c r="W15" s="7"/>
      <c r="X15" s="7" t="s">
        <v>68</v>
      </c>
      <c r="Y15" s="7"/>
      <c r="Z15" s="7" t="s">
        <v>69</v>
      </c>
      <c r="AA15" s="7"/>
      <c r="AC15" s="0" t="s">
        <v>70</v>
      </c>
      <c r="AD15" s="8" t="s">
        <v>13</v>
      </c>
      <c r="AE15" s="8" t="s">
        <v>14</v>
      </c>
      <c r="AF15" s="8" t="s">
        <v>15</v>
      </c>
      <c r="AG15" s="8" t="s">
        <v>16</v>
      </c>
      <c r="AH15" s="8" t="s">
        <v>71</v>
      </c>
      <c r="AI15" s="0" t="s">
        <v>17</v>
      </c>
    </row>
    <row r="16" customFormat="false" ht="13.8" hidden="false" customHeight="false" outlineLevel="0" collapsed="false">
      <c r="A16" s="9" t="s">
        <v>30</v>
      </c>
      <c r="B16" s="18" t="s">
        <v>31</v>
      </c>
      <c r="C16" s="18" t="s">
        <v>32</v>
      </c>
      <c r="D16" s="18" t="s">
        <v>31</v>
      </c>
      <c r="E16" s="18" t="s">
        <v>32</v>
      </c>
      <c r="F16" s="18" t="s">
        <v>31</v>
      </c>
      <c r="G16" s="18" t="s">
        <v>32</v>
      </c>
      <c r="H16" s="18" t="s">
        <v>31</v>
      </c>
      <c r="I16" s="18" t="s">
        <v>32</v>
      </c>
      <c r="J16" s="19" t="s">
        <v>31</v>
      </c>
      <c r="K16" s="18" t="s">
        <v>32</v>
      </c>
      <c r="Q16" s="14" t="s">
        <v>28</v>
      </c>
      <c r="R16" s="15" t="n">
        <v>1</v>
      </c>
      <c r="S16" s="15" t="n">
        <v>363</v>
      </c>
      <c r="T16" s="15" t="n">
        <v>1</v>
      </c>
      <c r="U16" s="15" t="n">
        <v>363</v>
      </c>
      <c r="V16" s="15" t="n">
        <v>1</v>
      </c>
      <c r="W16" s="15" t="n">
        <v>363</v>
      </c>
      <c r="X16" s="15" t="n">
        <v>1</v>
      </c>
      <c r="Y16" s="15" t="n">
        <v>363</v>
      </c>
      <c r="Z16" s="15" t="n">
        <v>1</v>
      </c>
      <c r="AA16" s="15" t="n">
        <v>363</v>
      </c>
      <c r="AC16" s="16" t="s">
        <v>29</v>
      </c>
      <c r="AD16" s="33" t="n">
        <v>39252</v>
      </c>
      <c r="AE16" s="33" t="n">
        <v>87900</v>
      </c>
      <c r="AF16" s="33" t="n">
        <v>1916.5</v>
      </c>
      <c r="AG16" s="33" t="n">
        <v>53654</v>
      </c>
      <c r="AH16" s="33" t="n">
        <v>896.7</v>
      </c>
      <c r="AI16" s="0" t="n">
        <v>298</v>
      </c>
      <c r="AK16" s="0" t="n">
        <f aca="false">($AD$16+$AE$16*(($AF$16/S5)/(SINH($AF$16/S5)))+$AG$16*((($AH$16/S5)/(COSH($AH$16/S5)))^2))</f>
        <v>45780.1898068682</v>
      </c>
    </row>
    <row r="17" customFormat="false" ht="13.8" hidden="false" customHeight="false" outlineLevel="0" collapsed="false">
      <c r="A17" s="9" t="s">
        <v>38</v>
      </c>
      <c r="B17" s="22" t="n">
        <f aca="false">H7+J7</f>
        <v>69</v>
      </c>
      <c r="C17" s="22" t="n">
        <f aca="false">B17/B23</f>
        <v>0.408284023668639</v>
      </c>
      <c r="D17" s="22" t="n">
        <f aca="false">B17</f>
        <v>69</v>
      </c>
      <c r="E17" s="22" t="n">
        <f aca="false">C17</f>
        <v>0.408284023668639</v>
      </c>
      <c r="F17" s="22" t="n">
        <f aca="false">D17-N7</f>
        <v>46.69</v>
      </c>
      <c r="G17" s="22" t="n">
        <f aca="false">F17/F23</f>
        <v>0.318290272002181</v>
      </c>
      <c r="H17" s="22" t="n">
        <f aca="false">F17</f>
        <v>46.69</v>
      </c>
      <c r="I17" s="22" t="n">
        <f aca="false">G17</f>
        <v>0.318290272002181</v>
      </c>
      <c r="J17" s="22" t="n">
        <f aca="false">H17</f>
        <v>46.69</v>
      </c>
      <c r="K17" s="22" t="n">
        <f aca="false">I17</f>
        <v>0.318290272002181</v>
      </c>
      <c r="Q17" s="6" t="s">
        <v>30</v>
      </c>
      <c r="R17" s="21" t="s">
        <v>36</v>
      </c>
      <c r="S17" s="21" t="s">
        <v>35</v>
      </c>
      <c r="T17" s="21" t="s">
        <v>36</v>
      </c>
      <c r="U17" s="21" t="s">
        <v>35</v>
      </c>
      <c r="V17" s="21" t="s">
        <v>36</v>
      </c>
      <c r="W17" s="21" t="s">
        <v>35</v>
      </c>
      <c r="X17" s="21" t="s">
        <v>36</v>
      </c>
      <c r="Y17" s="21" t="s">
        <v>35</v>
      </c>
      <c r="Z17" s="21" t="s">
        <v>36</v>
      </c>
      <c r="AA17" s="21" t="s">
        <v>35</v>
      </c>
      <c r="AC17" s="20" t="s">
        <v>37</v>
      </c>
      <c r="AD17" s="33" t="n">
        <v>64257</v>
      </c>
      <c r="AE17" s="33" t="n">
        <v>206180</v>
      </c>
      <c r="AF17" s="33" t="n">
        <v>1676.8</v>
      </c>
      <c r="AG17" s="33" t="n">
        <v>133240</v>
      </c>
      <c r="AH17" s="33" t="n">
        <v>757.06</v>
      </c>
      <c r="AI17" s="0" t="n">
        <v>298</v>
      </c>
      <c r="AK17" s="0" t="e">
        <f aca="false">($AD$17+$AE$17*(($AF$17/S7)/(SINH($AF$17/S7)))+$AG$17*((($AH$17/S7)/(COSH($AH$17/S7)))^2))</f>
        <v>#DIV/0!</v>
      </c>
    </row>
    <row r="18" customFormat="false" ht="13.8" hidden="false" customHeight="false" outlineLevel="0" collapsed="false">
      <c r="A18" s="9" t="s">
        <v>41</v>
      </c>
      <c r="B18" s="22" t="n">
        <f aca="false">H8+J8</f>
        <v>23</v>
      </c>
      <c r="C18" s="22" t="n">
        <f aca="false">B18/B23</f>
        <v>0.136094674556213</v>
      </c>
      <c r="D18" s="22" t="n">
        <f aca="false">B18</f>
        <v>23</v>
      </c>
      <c r="E18" s="22" t="n">
        <f aca="false">C18</f>
        <v>0.136094674556213</v>
      </c>
      <c r="F18" s="22" t="n">
        <f aca="false">D18-N7</f>
        <v>0.690000000000001</v>
      </c>
      <c r="G18" s="22" t="n">
        <f aca="false">F18/F23</f>
        <v>0.00470379712318496</v>
      </c>
      <c r="H18" s="22" t="n">
        <f aca="false">F18</f>
        <v>0.690000000000001</v>
      </c>
      <c r="I18" s="22" t="n">
        <f aca="false">G18</f>
        <v>0.00470379712318496</v>
      </c>
      <c r="J18" s="22" t="n">
        <f aca="false">H18</f>
        <v>0.690000000000001</v>
      </c>
      <c r="K18" s="22" t="n">
        <f aca="false">I18</f>
        <v>0.00470379712318496</v>
      </c>
      <c r="Q18" s="6" t="s">
        <v>38</v>
      </c>
      <c r="R18" s="23" t="n">
        <f aca="false">($AD$5*(S16-$AH$5))+($AE$5/2)*((S16^2-$AH$5^2))+($AF$5/3)*((S16^3-$AH$5^3))+($AG$5/4)*((S16^4-$AH$5^4))</f>
        <v>3015.20257053882</v>
      </c>
      <c r="S18" s="24" t="n">
        <f aca="false">R18*46.69</f>
        <v>140779.808018457</v>
      </c>
      <c r="T18" s="23" t="n">
        <f aca="false">($AD$5*(U16-$AH$5))+($AE$5/2)*((U16^2-$AH$5^2))+($AF$5/3)*((U16^3-$AH$5^3))+($AG$5/4)*((U16^4-$AH$5^4))</f>
        <v>3015.20257053882</v>
      </c>
      <c r="U18" s="24" t="n">
        <f aca="false">T18*46.69</f>
        <v>140779.808018457</v>
      </c>
      <c r="V18" s="23" t="n">
        <f aca="false">($AD$5*(W16-$AH$5))+($AE$5/2)*((W16^2-$AH$5^2))+($AF$5/3)*((W16^3-$AH$5^3))+($AG$5/4)*((W16^4-$AH$5^4))</f>
        <v>3015.20257053882</v>
      </c>
      <c r="W18" s="24" t="n">
        <f aca="false">V18*46.69</f>
        <v>140779.808018457</v>
      </c>
      <c r="X18" s="23" t="n">
        <f aca="false">($AD$5*(Y16-$AH$5))+($AE$5/2)*((Y16^2-$AH$5^2))+($AF$5/3)*((Y16^3-$AH$5^3))+($AG$5/4)*((Y16^4-$AH$5^4))</f>
        <v>3015.20257053882</v>
      </c>
      <c r="Y18" s="24" t="n">
        <f aca="false">X18*46.69</f>
        <v>140779.808018457</v>
      </c>
      <c r="Z18" s="23" t="n">
        <f aca="false">($AD$5*(AA16-$AH$5))+($AE$5/2)*((AA16^2-$AH$5^2))+($AF$5/3)*((AA16^3-$AH$5^3))+($AG$5/4)*((AA16^4-$AH$5^4))</f>
        <v>3015.20257053882</v>
      </c>
      <c r="AA18" s="24" t="n">
        <f aca="false">Z18*46.69</f>
        <v>140779.808018457</v>
      </c>
      <c r="AC18" s="12" t="s">
        <v>40</v>
      </c>
      <c r="AD18" s="33" t="n">
        <v>64257</v>
      </c>
      <c r="AE18" s="33" t="n">
        <v>206180</v>
      </c>
      <c r="AF18" s="33" t="n">
        <v>1676.8</v>
      </c>
      <c r="AG18" s="33" t="n">
        <v>133240</v>
      </c>
      <c r="AH18" s="33" t="n">
        <v>757.06</v>
      </c>
      <c r="AI18" s="0" t="n">
        <v>298</v>
      </c>
      <c r="AK18" s="0" t="e">
        <f aca="false">($AD$18+$AE$18*(($AF$18/S8)/(SINH($AF$18/S8)))+$AG$18*((($AH$18/S8)/(COSH($AH$18/S8)))^2))</f>
        <v>#DIV/0!</v>
      </c>
    </row>
    <row r="19" customFormat="false" ht="13.8" hidden="false" customHeight="false" outlineLevel="0" collapsed="false">
      <c r="A19" s="9" t="s">
        <v>43</v>
      </c>
      <c r="B19" s="22" t="n">
        <f aca="false">H9+J9</f>
        <v>20</v>
      </c>
      <c r="C19" s="22" t="n">
        <f aca="false">B19/B23</f>
        <v>0.118343195266272</v>
      </c>
      <c r="D19" s="22" t="n">
        <f aca="false">B19</f>
        <v>20</v>
      </c>
      <c r="E19" s="22" t="n">
        <f aca="false">C19</f>
        <v>0.118343195266272</v>
      </c>
      <c r="F19" s="22" t="n">
        <f aca="false">D19</f>
        <v>20</v>
      </c>
      <c r="G19" s="22" t="n">
        <f aca="false">F19/F23</f>
        <v>0.136341945599564</v>
      </c>
      <c r="H19" s="22" t="n">
        <f aca="false">F19</f>
        <v>20</v>
      </c>
      <c r="I19" s="22" t="n">
        <f aca="false">G19</f>
        <v>0.136341945599564</v>
      </c>
      <c r="J19" s="22" t="n">
        <f aca="false">H19</f>
        <v>20</v>
      </c>
      <c r="K19" s="22" t="n">
        <f aca="false">I19</f>
        <v>0.136341945599564</v>
      </c>
      <c r="Q19" s="6" t="s">
        <v>41</v>
      </c>
      <c r="R19" s="23" t="n">
        <f aca="false">($AD$6*(S16-$AH$6))+($AE$6/2)*((S16^2-$AH$6^2))+($AF$6/3)*((S16^3-$AH$6^3))+($AG$6/4)*((S16^4-$AH$6^4))</f>
        <v>5337.1693733841</v>
      </c>
      <c r="S19" s="24" t="n">
        <f aca="false">R19*0.69</f>
        <v>3682.64686763503</v>
      </c>
      <c r="T19" s="23" t="n">
        <f aca="false">($AD$6*(U16-$AH$6))+($AE$6/2)*((U16^2-$AH$6^2))+($AF$6/3)*((U16^3-$AH$6^3))+($AG$6/4)*((U16^4-$AH$6^4))</f>
        <v>5337.1693733841</v>
      </c>
      <c r="U19" s="24" t="n">
        <f aca="false">T19*0.69</f>
        <v>3682.64686763503</v>
      </c>
      <c r="V19" s="23" t="n">
        <f aca="false">($AD$6*(W16-$AH$6))+($AE$6/2)*((W16^2-$AH$6^2))+($AF$6/3)*((W16^3-$AH$6^3))+($AG$6/4)*((W16^4-$AH$6^4))</f>
        <v>5337.1693733841</v>
      </c>
      <c r="W19" s="24" t="n">
        <f aca="false">V19*0.69</f>
        <v>3682.64686763503</v>
      </c>
      <c r="X19" s="23" t="n">
        <f aca="false">($AD$6*(Y16-$AH$6))+($AE$6/2)*((Y16^2-$AH$6^2))+($AF$6/3)*((Y16^3-$AH$6^3))+($AG$6/4)*((Y16^4-$AH$6^4))</f>
        <v>5337.1693733841</v>
      </c>
      <c r="Y19" s="24" t="n">
        <f aca="false">X19*0.69</f>
        <v>3682.64686763503</v>
      </c>
      <c r="Z19" s="23" t="n">
        <f aca="false">($AD$6*(AA16-$AH$6))+($AE$6/2)*((AA16^2-$AH$6^2))+($AF$6/3)*((AA16^3-$AH$6^3))+($AG$6/4)*((AA16^4-$AH$6^4))</f>
        <v>5337.1693733841</v>
      </c>
      <c r="AA19" s="24" t="n">
        <f aca="false">Z19*0.69</f>
        <v>3682.64686763503</v>
      </c>
      <c r="AC19" s="16" t="s">
        <v>42</v>
      </c>
      <c r="AD19" s="33" t="n">
        <v>65920</v>
      </c>
      <c r="AE19" s="33" t="n">
        <v>207000</v>
      </c>
      <c r="AF19" s="33" t="n">
        <v>1673.3</v>
      </c>
      <c r="AG19" s="33" t="n">
        <v>125100</v>
      </c>
      <c r="AH19" s="33" t="n">
        <v>742.2</v>
      </c>
      <c r="AI19" s="0" t="n">
        <v>298</v>
      </c>
      <c r="AK19" s="0" t="e">
        <f aca="false">($AD$19+$AE$19*(($AF$19/S9)/(SINH($AF$19/S9)))+$AG$19*((($AH$19/S9)/(COSH($AH$19/S9)))^2))</f>
        <v>#DIV/0!</v>
      </c>
    </row>
    <row r="20" customFormat="false" ht="13.8" hidden="false" customHeight="false" outlineLevel="0" collapsed="false">
      <c r="A20" s="9" t="s">
        <v>42</v>
      </c>
      <c r="B20" s="22" t="n">
        <f aca="false">H10+J10</f>
        <v>57</v>
      </c>
      <c r="C20" s="22" t="n">
        <f aca="false">B20/B23</f>
        <v>0.337278106508876</v>
      </c>
      <c r="D20" s="22" t="n">
        <f aca="false">B20</f>
        <v>57</v>
      </c>
      <c r="E20" s="22" t="n">
        <f aca="false">C20</f>
        <v>0.337278106508876</v>
      </c>
      <c r="F20" s="22" t="n">
        <f aca="false">D20</f>
        <v>57</v>
      </c>
      <c r="G20" s="22" t="n">
        <f aca="false">F20/F23</f>
        <v>0.388574544958757</v>
      </c>
      <c r="H20" s="22" t="n">
        <f aca="false">F20</f>
        <v>57</v>
      </c>
      <c r="I20" s="22" t="n">
        <f aca="false">G20</f>
        <v>0.388574544958757</v>
      </c>
      <c r="J20" s="22" t="n">
        <f aca="false">H20</f>
        <v>57</v>
      </c>
      <c r="K20" s="22" t="n">
        <f aca="false">I20</f>
        <v>0.388574544958757</v>
      </c>
      <c r="Q20" s="6" t="s">
        <v>43</v>
      </c>
      <c r="R20" s="23" t="n">
        <f aca="false">($AD$7*(S16-$AH$7))+($AE$7/2)*((S16^2-$AH$7^2))+($AF$7/3)*((S16^3-$AH$7^3))+($AG$7/4)*((S16^4-$AH$7^4))</f>
        <v>6082.70439202524</v>
      </c>
      <c r="S20" s="24" t="n">
        <f aca="false">R20*20</f>
        <v>121654.087840505</v>
      </c>
      <c r="T20" s="23" t="n">
        <f aca="false">($AD$7*(U16-$AH$7))+($AE$7/2)*((U16^2-$AH$7^2))+($AF$7/3)*((U16^3-$AH$7^3))+($AG$7/4)*((U16^4-$AH$7^4))</f>
        <v>6082.70439202524</v>
      </c>
      <c r="U20" s="24" t="n">
        <f aca="false">T20*20</f>
        <v>121654.087840505</v>
      </c>
      <c r="V20" s="23" t="n">
        <f aca="false">($AD$7*(W16-$AH$7))+($AE$7/2)*((W16^2-$AH$7^2))+($AF$7/3)*((W16^3-$AH$7^3))+($AG$7/4)*((W16^4-$AH$7^4))</f>
        <v>6082.70439202524</v>
      </c>
      <c r="W20" s="24" t="n">
        <f aca="false">V20*20</f>
        <v>121654.087840505</v>
      </c>
      <c r="X20" s="23" t="n">
        <f aca="false">($AD$7*(Y16-$AH$7))+($AE$7/2)*((Y16^2-$AH$7^2))+($AF$7/3)*((Y16^3-$AH$7^3))+($AG$7/4)*((Y16^4-$AH$7^4))</f>
        <v>6082.70439202524</v>
      </c>
      <c r="Y20" s="24" t="n">
        <f aca="false">X20*20</f>
        <v>121654.087840505</v>
      </c>
      <c r="Z20" s="23" t="n">
        <f aca="false">($AD$7*(AA16-$AH$7))+($AE$7/2)*((AA16^2-$AH$7^2))+($AF$7/3)*((AA16^3-$AH$7^3))+($AG$7/4)*((AA16^4-$AH$7^4))</f>
        <v>6082.70439202524</v>
      </c>
      <c r="AA20" s="24" t="n">
        <f aca="false">Z20*20</f>
        <v>121654.087840505</v>
      </c>
      <c r="AC20" s="16" t="s">
        <v>46</v>
      </c>
      <c r="AD20" s="33" t="n">
        <v>82051</v>
      </c>
      <c r="AE20" s="33" t="n">
        <v>308690</v>
      </c>
      <c r="AF20" s="33" t="n">
        <v>1386.4</v>
      </c>
      <c r="AG20" s="33" t="n">
        <v>178860</v>
      </c>
      <c r="AH20" s="33" t="n">
        <v>613.87</v>
      </c>
      <c r="AI20" s="0" t="n">
        <v>298</v>
      </c>
      <c r="AK20" s="0" t="e">
        <f aca="false">($AD$20+$AE$20*(($AF$20/S10)/(SINH($AF$20/S10)))+$AG$20*((($AH$20/S10)/(COSH($AH$20/S10)))^2))</f>
        <v>#DIV/0!</v>
      </c>
    </row>
    <row r="21" customFormat="false" ht="13.8" hidden="false" customHeight="false" outlineLevel="0" collapsed="false">
      <c r="A21" s="9" t="s">
        <v>46</v>
      </c>
      <c r="B21" s="22" t="n">
        <f aca="false">H11+J11</f>
        <v>0</v>
      </c>
      <c r="C21" s="22" t="n">
        <f aca="false">B21/B23</f>
        <v>0</v>
      </c>
      <c r="D21" s="22" t="n">
        <f aca="false">B21</f>
        <v>0</v>
      </c>
      <c r="E21" s="22" t="n">
        <f aca="false">C21</f>
        <v>0</v>
      </c>
      <c r="F21" s="22" t="n">
        <f aca="false">D21+N7</f>
        <v>22.31</v>
      </c>
      <c r="G21" s="22" t="n">
        <f aca="false">F21/F23</f>
        <v>0.152089440316313</v>
      </c>
      <c r="H21" s="22" t="n">
        <f aca="false">F21</f>
        <v>22.31</v>
      </c>
      <c r="I21" s="22" t="n">
        <f aca="false">G21</f>
        <v>0.152089440316313</v>
      </c>
      <c r="J21" s="22" t="n">
        <f aca="false">H21</f>
        <v>22.31</v>
      </c>
      <c r="K21" s="22" t="n">
        <f aca="false">I21</f>
        <v>0.152089440316313</v>
      </c>
      <c r="Q21" s="6" t="s">
        <v>42</v>
      </c>
      <c r="R21" s="23" t="n">
        <f aca="false">($AD$8*(S16-$AH$8))+($AE$8/2)*((S16^2-$AH$8^2))+($AF$8/3)*((S16^3-$AH$8^3))+($AG$8/4)*((S16^4-$AH$8^4))</f>
        <v>6177.03610651752</v>
      </c>
      <c r="S21" s="24" t="n">
        <f aca="false">R21*57</f>
        <v>352091.058071498</v>
      </c>
      <c r="T21" s="23" t="n">
        <f aca="false">($AD$8*(U16-$AH$8))+($AE$8/2)*((U16^2-$AH$8^2))+($AF$8/3)*((U16^3-$AH$8^3))+($AG$8/4)*((U16^4-$AH$8^4))</f>
        <v>6177.03610651752</v>
      </c>
      <c r="U21" s="24" t="n">
        <f aca="false">T21*57</f>
        <v>352091.058071498</v>
      </c>
      <c r="V21" s="23" t="n">
        <f aca="false">($AD$8*(W16-$AH$8))+($AE$8/2)*((W16^2-$AH$8^2))+($AF$8/3)*((W16^3-$AH$8^3))+($AG$8/4)*((W16^4-$AH$8^4))</f>
        <v>6177.03610651752</v>
      </c>
      <c r="W21" s="24" t="n">
        <f aca="false">V21*57</f>
        <v>352091.058071498</v>
      </c>
      <c r="X21" s="23" t="n">
        <f aca="false">($AD$8*(Y16-$AH$8))+($AE$8/2)*((Y16^2-$AH$8^2))+($AF$8/3)*((Y16^3-$AH$8^3))+($AG$8/4)*((Y16^4-$AH$8^4))</f>
        <v>6177.03610651752</v>
      </c>
      <c r="Y21" s="24" t="n">
        <f aca="false">X21*57</f>
        <v>352091.058071498</v>
      </c>
      <c r="Z21" s="23" t="n">
        <f aca="false">($AD$8*(AA16-$AH$8))+($AE$8/2)*((AA16^2-$AH$8^2))+($AF$8/3)*((AA16^3-$AH$8^3))+($AG$8/4)*((AA16^4-$AH$8^4))</f>
        <v>6177.03610651752</v>
      </c>
      <c r="AA21" s="24" t="n">
        <f aca="false">Z21*57</f>
        <v>352091.058071498</v>
      </c>
      <c r="AC21" s="16" t="s">
        <v>48</v>
      </c>
      <c r="AD21" s="33" t="n">
        <v>33363</v>
      </c>
      <c r="AE21" s="33" t="n">
        <v>26790</v>
      </c>
      <c r="AF21" s="33" t="n">
        <v>2610.5</v>
      </c>
      <c r="AG21" s="33" t="n">
        <v>8896</v>
      </c>
      <c r="AH21" s="33" t="n">
        <v>1169</v>
      </c>
      <c r="AI21" s="0" t="n">
        <v>298</v>
      </c>
      <c r="AK21" s="0" t="e">
        <f aca="false">($AD$21+$AE$21*(($AF$21/S11)/(SINH($AF$21/S11)))+$AG$21*((($AH$21/S11)/(COSH($AH$21/S11)))^2))</f>
        <v>#DIV/0!</v>
      </c>
    </row>
    <row r="22" customFormat="false" ht="13.8" hidden="false" customHeight="false" outlineLevel="0" collapsed="false">
      <c r="A22" s="9" t="s">
        <v>50</v>
      </c>
      <c r="B22" s="22" t="n">
        <f aca="false">H12+J12</f>
        <v>0</v>
      </c>
      <c r="C22" s="22" t="n">
        <f aca="false">B22/B23</f>
        <v>0</v>
      </c>
      <c r="D22" s="22" t="n">
        <f aca="false">B22</f>
        <v>0</v>
      </c>
      <c r="E22" s="22" t="n">
        <f aca="false">C22</f>
        <v>0</v>
      </c>
      <c r="F22" s="22" t="n">
        <f aca="false">D22</f>
        <v>0</v>
      </c>
      <c r="G22" s="22" t="n">
        <f aca="false">F22/F23</f>
        <v>0</v>
      </c>
      <c r="H22" s="22" t="n">
        <f aca="false">F22</f>
        <v>0</v>
      </c>
      <c r="I22" s="22" t="n">
        <f aca="false">G22</f>
        <v>0</v>
      </c>
      <c r="J22" s="22" t="n">
        <f aca="false">H22</f>
        <v>0</v>
      </c>
      <c r="K22" s="22" t="n">
        <f aca="false">I22</f>
        <v>0</v>
      </c>
      <c r="Q22" s="6" t="s">
        <v>46</v>
      </c>
      <c r="R22" s="23" t="n">
        <f aca="false">($AD$9*(S16-$AH$9))+($AE$9/2)*((S16^2-$AH$9^2))+($AF$9/3)*((S16^3-$AH$9^3))+($AG$9/4)*((S16^4-$AH$9^4))</f>
        <v>9454.81425518154</v>
      </c>
      <c r="S22" s="24" t="n">
        <f aca="false">R22*22.31</f>
        <v>210936.9060331</v>
      </c>
      <c r="T22" s="23" t="n">
        <f aca="false">($AD$9*(U16-$AH$9))+($AE$9/2)*((U16^2-$AH$9^2))+($AF$9/3)*((U16^3-$AH$9^3))+($AG$9/4)*((U16^4-$AH$9^4))</f>
        <v>9454.81425518154</v>
      </c>
      <c r="U22" s="24" t="n">
        <f aca="false">T22*22.31</f>
        <v>210936.9060331</v>
      </c>
      <c r="V22" s="23" t="n">
        <f aca="false">($AD$9*(W16-$AH$9))+($AE$9/2)*((W16^2-$AH$9^2))+($AF$9/3)*((W16^3-$AH$9^3))+($AG$9/4)*((W16^4-$AH$9^4))</f>
        <v>9454.81425518154</v>
      </c>
      <c r="W22" s="24" t="n">
        <f aca="false">V22*22.31</f>
        <v>210936.9060331</v>
      </c>
      <c r="X22" s="23" t="n">
        <f aca="false">($AD$9*(Y16-$AH$9))+($AE$9/2)*((Y16^2-$AH$9^2))+($AF$9/3)*((Y16^3-$AH$9^3))+($AG$9/4)*((Y16^4-$AH$9^4))</f>
        <v>9454.81425518154</v>
      </c>
      <c r="Y22" s="24" t="n">
        <f aca="false">X22*22.31</f>
        <v>210936.9060331</v>
      </c>
      <c r="Z22" s="23" t="n">
        <f aca="false">($AD$9*(AA16-$AH$9))+($AE$9/2)*((AA16^2-$AH$9^2))+($AF$9/3)*((AA16^3-$AH$9^3))+($AG$9/4)*((AA16^4-$AH$9^4))</f>
        <v>9454.81425518154</v>
      </c>
      <c r="AA22" s="24" t="n">
        <f aca="false">Z22*22.31</f>
        <v>210936.9060331</v>
      </c>
    </row>
    <row r="23" customFormat="false" ht="13.8" hidden="false" customHeight="false" outlineLevel="0" collapsed="false">
      <c r="A23" s="9" t="s">
        <v>53</v>
      </c>
      <c r="B23" s="30" t="n">
        <f aca="false">SUM(B17:B22)</f>
        <v>169</v>
      </c>
      <c r="C23" s="30" t="n">
        <f aca="false">SUM(C17:C22)</f>
        <v>1</v>
      </c>
      <c r="D23" s="30" t="n">
        <f aca="false">SUM(D17:D22)</f>
        <v>169</v>
      </c>
      <c r="E23" s="30" t="n">
        <f aca="false">SUM(E17:E22)</f>
        <v>1</v>
      </c>
      <c r="F23" s="30" t="n">
        <f aca="false">SUM(F17:F22)</f>
        <v>146.69</v>
      </c>
      <c r="G23" s="30" t="n">
        <f aca="false">SUM(G17:G22)</f>
        <v>1</v>
      </c>
      <c r="H23" s="30" t="n">
        <f aca="false">SUM(H17:H22)</f>
        <v>146.69</v>
      </c>
      <c r="I23" s="30" t="n">
        <f aca="false">SUM(I17:I22)</f>
        <v>1</v>
      </c>
      <c r="J23" s="30" t="n">
        <f aca="false">SUM(J17:J22)</f>
        <v>146.69</v>
      </c>
      <c r="K23" s="30" t="n">
        <f aca="false">SUM(K17:K22)</f>
        <v>1</v>
      </c>
      <c r="Q23" s="6" t="s">
        <v>50</v>
      </c>
      <c r="R23" s="23" t="n">
        <f aca="false">($AD$10*(S16-$AH$10))+($AE$10/2)*((S16^2-$AH$10^2))+($AF$10/3)*((S16^3-$AH$10^3))+($AG$10/4)*((S16^4-$AH$10^4))</f>
        <v>2203.77073700678</v>
      </c>
      <c r="S23" s="24"/>
      <c r="T23" s="23" t="n">
        <f aca="false">($AD$10*(U16-$AH$10))+($AE$10/2)*((U16^2-$AH$10^2))+($AF$10/3)*((U16^3-$AH$10^3))+($AG$10/4)*((U16^4-$AH$10^4))</f>
        <v>2203.77073700678</v>
      </c>
      <c r="U23" s="24"/>
      <c r="V23" s="23" t="n">
        <f aca="false">($AD$10*(W16-$AH$10))+($AE$10/2)*((W16^2-$AH$10^2))+($AF$10/3)*((W16^3-$AH$10^3))+($AG$10/4)*((W16^4-$AH$10^4))</f>
        <v>2203.77073700678</v>
      </c>
      <c r="W23" s="24"/>
      <c r="X23" s="23" t="n">
        <f aca="false">($AD$10*(Y16-$AH$10))+($AE$10/2)*((Y16^2-$AH$10^2))+($AF$10/3)*((Y16^3-$AH$10^3))+($AG$10/4)*((Y16^4-$AH$10^4))</f>
        <v>2203.77073700678</v>
      </c>
      <c r="Y23" s="24"/>
      <c r="Z23" s="23" t="n">
        <f aca="false">($AD$10*(AA16-$AH$10))+($AE$10/2)*((AA16^2-$AH$10^2))+($AF$10/3)*((AA16^3-$AH$10^3))+($AG$10/4)*((AA16^4-$AH$10^4))</f>
        <v>2203.77073700678</v>
      </c>
      <c r="AA23" s="24"/>
    </row>
    <row r="24" customFormat="false" ht="13.8" hidden="false" customHeight="false" outlineLevel="0" collapsed="false">
      <c r="Q24" s="6" t="s">
        <v>53</v>
      </c>
      <c r="R24" s="31" t="n">
        <f aca="false">SUM(R18:R23)</f>
        <v>32270.697434654</v>
      </c>
      <c r="S24" s="24" t="n">
        <f aca="false">SUM(S18:S23)</f>
        <v>829144.506831196</v>
      </c>
      <c r="T24" s="31" t="n">
        <f aca="false">SUM(T18:T23)</f>
        <v>32270.697434654</v>
      </c>
      <c r="U24" s="24" t="n">
        <f aca="false">SUM(U18:U23)</f>
        <v>829144.506831196</v>
      </c>
      <c r="V24" s="31" t="n">
        <f aca="false">SUM(V18:V23)</f>
        <v>32270.697434654</v>
      </c>
      <c r="W24" s="24" t="n">
        <f aca="false">SUM(W18:W23)</f>
        <v>829144.506831196</v>
      </c>
      <c r="X24" s="31" t="n">
        <f aca="false">SUM(X18:X23)</f>
        <v>32270.697434654</v>
      </c>
      <c r="Y24" s="24" t="n">
        <f aca="false">SUM(Y18:Y23)</f>
        <v>829144.506831196</v>
      </c>
      <c r="Z24" s="31" t="n">
        <f aca="false">SUM(Z18:Z23)</f>
        <v>32270.697434654</v>
      </c>
      <c r="AA24" s="24" t="n">
        <f aca="false">SUM(AA18:AA23)</f>
        <v>829144.506831196</v>
      </c>
      <c r="AC24" s="0" t="n">
        <v>448</v>
      </c>
      <c r="AD24" s="0" t="n">
        <f aca="false">(AC24+AE24)/2</f>
        <v>373</v>
      </c>
      <c r="AE24" s="0" t="n">
        <v>298</v>
      </c>
      <c r="AG24" s="0" t="n">
        <f aca="false">($AD$16+$AE$16*(($AF$16/AC24)/(SINH($AF$16/AC24)))+$AG$16*((($AH$16/AC24)/(COSH($AH$16/AC24)))^2))</f>
        <v>64827.1333432013</v>
      </c>
      <c r="AH24" s="0" t="n">
        <f aca="false">($AD$16+$AE$16*(($AF$16/AD24)/(SINH($AF$16/AD24)))+$AG$16*((($AH$16/AD24)/(COSH($AH$16/AD24)))^2))</f>
        <v>54516.0362890054</v>
      </c>
      <c r="AI24" s="0" t="n">
        <f aca="false">($AD$16+$AE$16*(($AF$16/AE24)/(SINH($AF$16/AE24)))+$AG$16*((($AH$16/AE24)/(COSH($AH$16/AE24)))^2))</f>
        <v>45780.1898068682</v>
      </c>
      <c r="AK24" s="27" t="n">
        <f aca="false">((AC24-AE24)/6)*(AG24+4*AH24+AI24)</f>
        <v>8216786.70765228</v>
      </c>
    </row>
    <row r="25" customFormat="false" ht="13.8" hidden="false" customHeight="false" outlineLevel="0" collapsed="false">
      <c r="A25" s="9" t="s">
        <v>6</v>
      </c>
      <c r="B25" s="10" t="s">
        <v>72</v>
      </c>
      <c r="C25" s="10"/>
      <c r="D25" s="10" t="s">
        <v>73</v>
      </c>
      <c r="E25" s="10"/>
      <c r="F25" s="10" t="s">
        <v>74</v>
      </c>
      <c r="G25" s="10"/>
      <c r="H25" s="10" t="s">
        <v>75</v>
      </c>
      <c r="I25" s="10"/>
      <c r="J25" s="10" t="s">
        <v>76</v>
      </c>
      <c r="K25" s="10"/>
      <c r="AC25" s="0" t="n">
        <v>448</v>
      </c>
      <c r="AD25" s="0" t="n">
        <f aca="false">(AC25+AE25)/2</f>
        <v>373</v>
      </c>
      <c r="AE25" s="0" t="n">
        <v>298</v>
      </c>
      <c r="AG25" s="0" t="n">
        <f aca="false">($AD$17+$AE$17*(($AF$17/AC25)/(SINH($AF$17/AC25)))+$AG$17*((($AH$17/AC25)/(COSH($AH$17/AC25)))^2))</f>
        <v>149309.415895024</v>
      </c>
      <c r="AH25" s="0" t="n">
        <f aca="false">($AD$17+$AE$17*(($AF$17/AD25)/(SINH($AF$17/AD25)))+$AG$17*((($AH$17/AD25)/(COSH($AH$17/AD25)))^2))</f>
        <v>121568.65930692</v>
      </c>
      <c r="AI25" s="0" t="n">
        <f aca="false">($AD$17+$AE$17*(($AF$17/AE25)/(SINH($AF$17/AE25)))+$AG$17*((($AH$17/AE25)/(COSH($AH$17/AE25)))^2))</f>
        <v>93721.3774323251</v>
      </c>
      <c r="AK25" s="27" t="n">
        <f aca="false">((AC25-AE25)/6)*(AG25+4*AH25+AI25)</f>
        <v>18232635.7638757</v>
      </c>
      <c r="AM25" s="2"/>
      <c r="AN25" s="2"/>
      <c r="AO25" s="2"/>
      <c r="AP25" s="2"/>
      <c r="AQ25" s="2"/>
    </row>
    <row r="26" customFormat="false" ht="13.8" hidden="false" customHeight="false" outlineLevel="0" collapsed="false">
      <c r="A26" s="9" t="s">
        <v>30</v>
      </c>
      <c r="B26" s="18" t="s">
        <v>31</v>
      </c>
      <c r="C26" s="18" t="s">
        <v>32</v>
      </c>
      <c r="D26" s="18" t="s">
        <v>31</v>
      </c>
      <c r="E26" s="18" t="s">
        <v>32</v>
      </c>
      <c r="F26" s="18" t="s">
        <v>31</v>
      </c>
      <c r="G26" s="18" t="s">
        <v>32</v>
      </c>
      <c r="H26" s="18" t="s">
        <v>31</v>
      </c>
      <c r="I26" s="18" t="s">
        <v>32</v>
      </c>
      <c r="J26" s="19" t="s">
        <v>31</v>
      </c>
      <c r="K26" s="18" t="s">
        <v>32</v>
      </c>
      <c r="Q26" s="6" t="s">
        <v>6</v>
      </c>
      <c r="R26" s="7" t="s">
        <v>65</v>
      </c>
      <c r="S26" s="7"/>
      <c r="T26" s="7" t="s">
        <v>66</v>
      </c>
      <c r="U26" s="7"/>
      <c r="V26" s="7" t="s">
        <v>67</v>
      </c>
      <c r="W26" s="7"/>
      <c r="X26" s="7" t="s">
        <v>68</v>
      </c>
      <c r="Y26" s="7"/>
      <c r="Z26" s="7" t="s">
        <v>69</v>
      </c>
      <c r="AA26" s="7"/>
      <c r="AC26" s="0" t="n">
        <v>448</v>
      </c>
      <c r="AD26" s="0" t="n">
        <f aca="false">(AC26+AE26)/2</f>
        <v>373</v>
      </c>
      <c r="AE26" s="0" t="n">
        <v>298</v>
      </c>
      <c r="AG26" s="0" t="n">
        <f aca="false">($AD$18+$AE$18*(($AF$18/AC25)/(SINH($AF$18/AC25)))+$AG$18*((($AH$18/AC25)/(COSH($AH$18/AC25)))^2))</f>
        <v>149309.415895024</v>
      </c>
      <c r="AH26" s="0" t="n">
        <f aca="false">($AD$18+$AE$18*(($AF$18/AD25)/(SINH($AF$18/AD25)))+$AG$18*((($AH$18/AD25)/(COSH($AH$18/AD25)))^2))</f>
        <v>121568.65930692</v>
      </c>
      <c r="AI26" s="0" t="n">
        <f aca="false">($AD$18+$AE$18*(($AF$18/AE25)/(SINH($AF$18/AE25)))+$AG$18*((($AH$18/AE25)/(COSH($AH$18/AE25)))^2))</f>
        <v>93721.3774323251</v>
      </c>
      <c r="AK26" s="27" t="n">
        <f aca="false">((AC26-AE26)/6)*(AG26+4*AH26+AI26)</f>
        <v>18232635.7638757</v>
      </c>
    </row>
    <row r="27" customFormat="false" ht="13.8" hidden="false" customHeight="false" outlineLevel="0" collapsed="false">
      <c r="A27" s="9" t="s">
        <v>38</v>
      </c>
      <c r="B27" s="22" t="n">
        <f aca="false">J17*0.95</f>
        <v>44.3555</v>
      </c>
      <c r="C27" s="22" t="n">
        <f aca="false">B27/B33</f>
        <v>0.363434129074812</v>
      </c>
      <c r="D27" s="22" t="n">
        <f aca="false">B27</f>
        <v>44.3555</v>
      </c>
      <c r="E27" s="22" t="n">
        <f aca="false">C27</f>
        <v>0.363434129074812</v>
      </c>
      <c r="F27" s="22" t="n">
        <f aca="false">(N10/(N10+1))*D27</f>
        <v>29.5703333333333</v>
      </c>
      <c r="G27" s="22" t="n">
        <f aca="false">F27/F33</f>
        <v>0.363434129074812</v>
      </c>
      <c r="H27" s="22" t="n">
        <f aca="false">(1-N10/(N10+1))*D27</f>
        <v>14.7851666666667</v>
      </c>
      <c r="I27" s="22" t="n">
        <f aca="false">H27/H33</f>
        <v>0.363434129074812</v>
      </c>
      <c r="J27" s="22" t="n">
        <f aca="false">J17*0.05</f>
        <v>2.3345</v>
      </c>
      <c r="K27" s="22" t="n">
        <f aca="false">J27/J33</f>
        <v>0.0947270181987867</v>
      </c>
      <c r="Q27" s="14" t="s">
        <v>28</v>
      </c>
      <c r="R27" s="15" t="n">
        <v>1</v>
      </c>
      <c r="S27" s="15" t="n">
        <v>363</v>
      </c>
      <c r="T27" s="15" t="n">
        <v>1</v>
      </c>
      <c r="U27" s="15" t="n">
        <v>363</v>
      </c>
      <c r="V27" s="15" t="n">
        <v>1</v>
      </c>
      <c r="W27" s="15" t="n">
        <v>363</v>
      </c>
      <c r="X27" s="15" t="n">
        <v>1</v>
      </c>
      <c r="Y27" s="15" t="n">
        <v>363</v>
      </c>
      <c r="Z27" s="15" t="n">
        <v>1</v>
      </c>
      <c r="AA27" s="15" t="n">
        <v>363</v>
      </c>
      <c r="AC27" s="0" t="n">
        <v>448</v>
      </c>
      <c r="AD27" s="0" t="n">
        <f aca="false">(AC27+AE27)/2</f>
        <v>373</v>
      </c>
      <c r="AE27" s="0" t="n">
        <v>298</v>
      </c>
      <c r="AG27" s="0" t="n">
        <f aca="false">($AD$19+$AE$19*(($AF$19/AC25)/(SINH($AF$19/AC25)))+$AG$19*((($AH$19/AC25)/(COSH($AH$19/AC25)))^2))</f>
        <v>149388.262793288</v>
      </c>
      <c r="AH27" s="0" t="n">
        <f aca="false">($AD$19+$AE$19*(($AF$19/AD25)/(SINH($AF$19/AD25)))+$AG$19*((($AH$19/AD25)/(COSH($AH$19/AD25)))^2))</f>
        <v>122532.568231645</v>
      </c>
      <c r="AI27" s="0" t="n">
        <f aca="false">($AD$19+$AE$19*(($AF$19/AE25)/(SINH($AF$19/AE25)))+$AG$19*((($AH$19/AE25)/(COSH($AH$19/AE25)))^2))</f>
        <v>95409.4423677041</v>
      </c>
      <c r="AK27" s="27" t="n">
        <f aca="false">((AC27-AE27)/6)*(AG27+4*AH27+AI27)</f>
        <v>18373199.4521893</v>
      </c>
    </row>
    <row r="28" customFormat="false" ht="14.9" hidden="false" customHeight="false" outlineLevel="0" collapsed="false">
      <c r="A28" s="9" t="s">
        <v>41</v>
      </c>
      <c r="B28" s="22" t="n">
        <f aca="false">J18</f>
        <v>0.690000000000001</v>
      </c>
      <c r="C28" s="22" t="n">
        <f aca="false">B28/B33</f>
        <v>0.00565362917928151</v>
      </c>
      <c r="D28" s="22" t="n">
        <f aca="false">B28</f>
        <v>0.690000000000001</v>
      </c>
      <c r="E28" s="22" t="n">
        <f aca="false">C28</f>
        <v>0.00565362917928151</v>
      </c>
      <c r="F28" s="22" t="n">
        <f aca="false">(N10/(N10+1))*D28</f>
        <v>0.460000000000001</v>
      </c>
      <c r="G28" s="22" t="n">
        <f aca="false">F28/F33</f>
        <v>0.00565362917928151</v>
      </c>
      <c r="H28" s="22" t="n">
        <f aca="false">(1-N10/(N10+1))*D28</f>
        <v>0.23</v>
      </c>
      <c r="I28" s="22" t="n">
        <f aca="false">H28/H33</f>
        <v>0.00565362917928151</v>
      </c>
      <c r="J28" s="22" t="n">
        <f aca="false">J18*0</f>
        <v>0</v>
      </c>
      <c r="K28" s="22" t="n">
        <f aca="false">J28/J33</f>
        <v>0</v>
      </c>
      <c r="Q28" s="6" t="s">
        <v>30</v>
      </c>
      <c r="R28" s="21" t="s">
        <v>36</v>
      </c>
      <c r="S28" s="21" t="s">
        <v>35</v>
      </c>
      <c r="T28" s="21" t="s">
        <v>36</v>
      </c>
      <c r="U28" s="21" t="s">
        <v>35</v>
      </c>
      <c r="V28" s="21" t="s">
        <v>36</v>
      </c>
      <c r="W28" s="21" t="s">
        <v>35</v>
      </c>
      <c r="X28" s="21" t="s">
        <v>36</v>
      </c>
      <c r="Y28" s="21" t="s">
        <v>35</v>
      </c>
      <c r="Z28" s="21" t="s">
        <v>36</v>
      </c>
      <c r="AA28" s="21" t="s">
        <v>35</v>
      </c>
      <c r="AC28" s="0" t="n">
        <v>448</v>
      </c>
      <c r="AD28" s="0" t="n">
        <f aca="false">(AC28+AE28)/2</f>
        <v>373</v>
      </c>
      <c r="AE28" s="0" t="n">
        <v>298</v>
      </c>
      <c r="AG28" s="0" t="e">
        <f aca="false">($AD$20+$AE$20*(($AF$20/O18)/(SINH($AF$20/O18)))+$AG$20*((($AH$20/O18)/(COSH($AH$20/O18)))^2))</f>
        <v>#DIV/0!</v>
      </c>
      <c r="AH28" s="0" t="e">
        <f aca="false">($AD$20+$AE$20*(($AF$20/P18)/(SINH($AF$20/P18)))+$AG$20*((($AH$20/P18)/(COSH($AH$20/P18)))^2))</f>
        <v>#DIV/0!</v>
      </c>
      <c r="AI28" s="0" t="e">
        <f aca="false">($AD$20+$AE$20*(($AF$20/Q19)/(SINH($AF$20/Q19)))+$AG$20*((($AH$20/Q19)/(COSH($AH$20/Q19)))^2))</f>
        <v>#VALUE!</v>
      </c>
      <c r="AK28" s="27" t="e">
        <f aca="false">((AC28-AE28)/6)*(AG28+4*AH28+AI28)</f>
        <v>#DIV/0!</v>
      </c>
      <c r="AS28" s="1" t="n">
        <f aca="false">626.479/56.106</f>
        <v>11.1659893772502</v>
      </c>
      <c r="AT28" s="0" t="n">
        <f aca="false">1/AS28</f>
        <v>0.0895576707279893</v>
      </c>
      <c r="AV28" s="0" t="n">
        <f aca="false">AD5*(S5-AH5)+(AE5*(S5^2-AH5^2))/2+(AF5*(S5^3-AH5^3))/3+(AG5*(S5^4-AH5^4))/4</f>
        <v>0</v>
      </c>
    </row>
    <row r="29" customFormat="false" ht="13.8" hidden="false" customHeight="false" outlineLevel="0" collapsed="false">
      <c r="A29" s="9" t="s">
        <v>43</v>
      </c>
      <c r="B29" s="22" t="n">
        <f aca="false">J19</f>
        <v>20</v>
      </c>
      <c r="C29" s="22" t="n">
        <f aca="false">B29/B33</f>
        <v>0.163873309544391</v>
      </c>
      <c r="D29" s="22" t="n">
        <f aca="false">B29</f>
        <v>20</v>
      </c>
      <c r="E29" s="22" t="n">
        <f aca="false">C29</f>
        <v>0.163873309544391</v>
      </c>
      <c r="F29" s="22" t="n">
        <f aca="false">(N10/(N10+1))*D29</f>
        <v>13.3333333333333</v>
      </c>
      <c r="G29" s="22" t="n">
        <f aca="false">F29/F33</f>
        <v>0.163873309544391</v>
      </c>
      <c r="H29" s="22" t="n">
        <f aca="false">(1-N10/(N10+1))*D29</f>
        <v>6.66666666666667</v>
      </c>
      <c r="I29" s="22" t="n">
        <f aca="false">H29/H33</f>
        <v>0.163873309544391</v>
      </c>
      <c r="J29" s="22" t="n">
        <f aca="false">J19*0</f>
        <v>0</v>
      </c>
      <c r="K29" s="22" t="n">
        <f aca="false">J29/J33</f>
        <v>0</v>
      </c>
      <c r="Q29" s="6" t="s">
        <v>38</v>
      </c>
      <c r="R29" s="23" t="n">
        <f aca="false">($AD$5*(S27-$AH$5))+($AE$5/2)*((S27^2-$AH$5^2))+($AF$5/3)*((S27^3-$AH$5^3))+($AG$5/4)*((S27^4-$AH$5^4))</f>
        <v>3015.20257053882</v>
      </c>
      <c r="S29" s="24" t="n">
        <f aca="false">R29*46.69</f>
        <v>140779.808018457</v>
      </c>
      <c r="T29" s="23" t="n">
        <f aca="false">($AD$5*(U27-$AH$5))+($AE$5/2)*((U27^2-$AH$5^2))+($AF$5/3)*((U27^3-$AH$5^3))+($AG$5/4)*((U27^4-$AH$5^4))</f>
        <v>3015.20257053882</v>
      </c>
      <c r="U29" s="24" t="n">
        <f aca="false">T29*46.69</f>
        <v>140779.808018457</v>
      </c>
      <c r="V29" s="23" t="n">
        <f aca="false">($AD$5*(W27-$AH$5))+($AE$5/2)*((W27^2-$AH$5^2))+($AF$5/3)*((W27^3-$AH$5^3))+($AG$5/4)*((W27^4-$AH$5^4))</f>
        <v>3015.20257053882</v>
      </c>
      <c r="W29" s="24" t="n">
        <f aca="false">V29*46.69</f>
        <v>140779.808018457</v>
      </c>
      <c r="X29" s="23" t="n">
        <f aca="false">($AD$5*(Y27-$AH$5))+($AE$5/2)*((Y27^2-$AH$5^2))+($AF$5/3)*((Y27^3-$AH$5^3))+($AG$5/4)*((Y27^4-$AH$5^4))</f>
        <v>3015.20257053882</v>
      </c>
      <c r="Y29" s="24" t="n">
        <f aca="false">X29*46.69</f>
        <v>140779.808018457</v>
      </c>
      <c r="Z29" s="23" t="n">
        <f aca="false">($AD$5*(AA27-$AH$5))+($AE$5/2)*((AA27^2-$AH$5^2))+($AF$5/3)*((AA27^3-$AH$5^3))+($AG$5/4)*((AA27^4-$AH$5^4))</f>
        <v>3015.20257053882</v>
      </c>
      <c r="AA29" s="24" t="n">
        <f aca="false">Z29*46.69</f>
        <v>140779.808018457</v>
      </c>
      <c r="AG29" s="0" t="e">
        <f aca="false">($AD$21+$AE$21*(($AF$21/O19)/(SINH($AF$21/O19)))+$AG$21*((($AH$21/O19)/(COSH($AH$21/O19)))^2))</f>
        <v>#DIV/0!</v>
      </c>
      <c r="AH29" s="0" t="e">
        <f aca="false">($AD$21+$AE$21*(($AF$21/P19)/(SINH($AF$21/P19)))+$AG$21*((($AH$21/P19)/(COSH($AH$21/P19)))^2))</f>
        <v>#DIV/0!</v>
      </c>
      <c r="AI29" s="0" t="e">
        <f aca="false">($AD$21+$AE$21*(($AF$21/Q20)/(SINH($AF$21/Q20)))+$AG$21*((($AH$21/Q20)/(COSH($AH$21/Q20)))^2))</f>
        <v>#VALUE!</v>
      </c>
      <c r="AK29" s="27" t="e">
        <f aca="false">((AC29-AE29)/6)*(AG29+4*AH29+AI29)</f>
        <v>#DIV/0!</v>
      </c>
      <c r="AN29" s="0" t="n">
        <f aca="false">S7/3600</f>
        <v>0</v>
      </c>
      <c r="AP29" s="27" t="n">
        <f aca="false">U7/3600</f>
        <v>0</v>
      </c>
      <c r="AS29" s="0" t="n">
        <f aca="false">4074.9*46.69+8955.8*0.69+9535.2*20+8956.2*57+11910*22.31</f>
        <v>1163356.083</v>
      </c>
    </row>
    <row r="30" customFormat="false" ht="13.8" hidden="false" customHeight="false" outlineLevel="0" collapsed="false">
      <c r="A30" s="9" t="s">
        <v>42</v>
      </c>
      <c r="B30" s="22" t="n">
        <f aca="false">J20</f>
        <v>57</v>
      </c>
      <c r="C30" s="22" t="n">
        <f aca="false">B30/B33</f>
        <v>0.467038932201515</v>
      </c>
      <c r="D30" s="22" t="n">
        <f aca="false">B30</f>
        <v>57</v>
      </c>
      <c r="E30" s="22" t="n">
        <f aca="false">C30</f>
        <v>0.467038932201515</v>
      </c>
      <c r="F30" s="22" t="n">
        <f aca="false">(N10/(N10+1))*D30</f>
        <v>38</v>
      </c>
      <c r="G30" s="22" t="n">
        <f aca="false">F30/F33</f>
        <v>0.467038932201515</v>
      </c>
      <c r="H30" s="22" t="n">
        <f aca="false">(1-N10/(N10+1))*D30</f>
        <v>19</v>
      </c>
      <c r="I30" s="22" t="n">
        <f aca="false">H30/H33</f>
        <v>0.467038932201515</v>
      </c>
      <c r="J30" s="22" t="n">
        <f aca="false">J20*0</f>
        <v>0</v>
      </c>
      <c r="K30" s="22" t="n">
        <f aca="false">J30/J33</f>
        <v>0</v>
      </c>
      <c r="Q30" s="6" t="s">
        <v>41</v>
      </c>
      <c r="R30" s="23" t="n">
        <f aca="false">($AD$6*(S27-$AH$6))+($AE$6/2)*((S27^2-$AH$6^2))+($AF$6/3)*((S27^3-$AH$6^3))+($AG$6/4)*((S27^4-$AH$6^4))</f>
        <v>5337.1693733841</v>
      </c>
      <c r="S30" s="24" t="n">
        <f aca="false">R30*0.69</f>
        <v>3682.64686763503</v>
      </c>
      <c r="T30" s="23" t="n">
        <f aca="false">($AD$6*(U27-$AH$6))+($AE$6/2)*((U27^2-$AH$6^2))+($AF$6/3)*((U27^3-$AH$6^3))+($AG$6/4)*((U27^4-$AH$6^4))</f>
        <v>5337.1693733841</v>
      </c>
      <c r="U30" s="24" t="n">
        <f aca="false">T30*0.69</f>
        <v>3682.64686763503</v>
      </c>
      <c r="V30" s="23" t="n">
        <f aca="false">($AD$6*(W27-$AH$6))+($AE$6/2)*((W27^2-$AH$6^2))+($AF$6/3)*((W27^3-$AH$6^3))+($AG$6/4)*((W27^4-$AH$6^4))</f>
        <v>5337.1693733841</v>
      </c>
      <c r="W30" s="24" t="n">
        <f aca="false">V30*0.69</f>
        <v>3682.64686763503</v>
      </c>
      <c r="X30" s="23" t="n">
        <f aca="false">($AD$6*(Y27-$AH$6))+($AE$6/2)*((Y27^2-$AH$6^2))+($AF$6/3)*((Y27^3-$AH$6^3))+($AG$6/4)*((Y27^4-$AH$6^4))</f>
        <v>5337.1693733841</v>
      </c>
      <c r="Y30" s="24" t="n">
        <f aca="false">X30*0.69</f>
        <v>3682.64686763503</v>
      </c>
      <c r="Z30" s="23" t="n">
        <f aca="false">($AD$6*(AA27-$AH$6))+($AE$6/2)*((AA27^2-$AH$6^2))+($AF$6/3)*((AA27^3-$AH$6^3))+($AG$6/4)*((AA27^4-$AH$6^4))</f>
        <v>5337.1693733841</v>
      </c>
      <c r="AA30" s="24" t="n">
        <f aca="false">Z30*0.69</f>
        <v>3682.64686763503</v>
      </c>
      <c r="AN30" s="0" t="n">
        <f aca="false">S8/3600</f>
        <v>0</v>
      </c>
      <c r="AP30" s="27" t="n">
        <f aca="false">U8/3600</f>
        <v>0</v>
      </c>
      <c r="AS30" s="0" t="n">
        <f aca="false">AS29/(1000*3600)</f>
        <v>0.3231544675</v>
      </c>
    </row>
    <row r="31" customFormat="false" ht="13.8" hidden="false" customHeight="false" outlineLevel="0" collapsed="false">
      <c r="A31" s="9" t="s">
        <v>46</v>
      </c>
      <c r="B31" s="22" t="n">
        <f aca="false">J21*0</f>
        <v>0</v>
      </c>
      <c r="C31" s="22" t="n">
        <f aca="false">B31/B33</f>
        <v>0</v>
      </c>
      <c r="D31" s="22" t="n">
        <f aca="false">B31</f>
        <v>0</v>
      </c>
      <c r="E31" s="22" t="n">
        <f aca="false">C31</f>
        <v>0</v>
      </c>
      <c r="F31" s="22" t="n">
        <f aca="false">(N10/(N10+1))*D31</f>
        <v>0</v>
      </c>
      <c r="G31" s="22" t="n">
        <f aca="false">F31/F33</f>
        <v>0</v>
      </c>
      <c r="H31" s="22" t="n">
        <f aca="false">(1-N10/(N10+1))*D31</f>
        <v>0</v>
      </c>
      <c r="I31" s="22" t="n">
        <f aca="false">H31/H33</f>
        <v>0</v>
      </c>
      <c r="J31" s="22" t="n">
        <f aca="false">J21*1</f>
        <v>22.31</v>
      </c>
      <c r="K31" s="22" t="n">
        <f aca="false">J31/J33</f>
        <v>0.905272981801213</v>
      </c>
      <c r="Q31" s="6" t="s">
        <v>43</v>
      </c>
      <c r="R31" s="23" t="n">
        <f aca="false">($AD$7*(S27-$AH$7))+($AE$7/2)*((S27^2-$AH$7^2))+($AF$7/3)*((S27^3-$AH$7^3))+($AG$7/4)*((S27^4-$AH$7^4))</f>
        <v>6082.70439202524</v>
      </c>
      <c r="S31" s="24" t="n">
        <f aca="false">R31*20</f>
        <v>121654.087840505</v>
      </c>
      <c r="T31" s="23" t="n">
        <f aca="false">($AD$7*(U27-$AH$7))+($AE$7/2)*((U27^2-$AH$7^2))+($AF$7/3)*((U27^3-$AH$7^3))+($AG$7/4)*((U27^4-$AH$7^4))</f>
        <v>6082.70439202524</v>
      </c>
      <c r="U31" s="24" t="n">
        <f aca="false">T31*20</f>
        <v>121654.087840505</v>
      </c>
      <c r="V31" s="23" t="n">
        <f aca="false">($AD$7*(W27-$AH$7))+($AE$7/2)*((W27^2-$AH$7^2))+($AF$7/3)*((W27^3-$AH$7^3))+($AG$7/4)*((W27^4-$AH$7^4))</f>
        <v>6082.70439202524</v>
      </c>
      <c r="W31" s="24" t="n">
        <f aca="false">V31*20</f>
        <v>121654.087840505</v>
      </c>
      <c r="X31" s="23" t="n">
        <f aca="false">($AD$7*(Y27-$AH$7))+($AE$7/2)*((Y27^2-$AH$7^2))+($AF$7/3)*((Y27^3-$AH$7^3))+($AG$7/4)*((Y27^4-$AH$7^4))</f>
        <v>6082.70439202524</v>
      </c>
      <c r="Y31" s="24" t="n">
        <f aca="false">X31*20</f>
        <v>121654.087840505</v>
      </c>
      <c r="Z31" s="23" t="n">
        <f aca="false">($AD$7*(AA27-$AH$7))+($AE$7/2)*((AA27^2-$AH$7^2))+($AF$7/3)*((AA27^3-$AH$7^3))+($AG$7/4)*((AA27^4-$AH$7^4))</f>
        <v>6082.70439202524</v>
      </c>
      <c r="AA31" s="24" t="n">
        <f aca="false">Z31*20</f>
        <v>121654.087840505</v>
      </c>
      <c r="AN31" s="0" t="n">
        <f aca="false">S9/3600</f>
        <v>0</v>
      </c>
      <c r="AP31" s="27" t="n">
        <f aca="false">U9/3600</f>
        <v>0</v>
      </c>
    </row>
    <row r="32" customFormat="false" ht="13.8" hidden="false" customHeight="false" outlineLevel="0" collapsed="false">
      <c r="A32" s="9" t="s">
        <v>50</v>
      </c>
      <c r="B32" s="22" t="n">
        <f aca="false">J22</f>
        <v>0</v>
      </c>
      <c r="C32" s="22" t="n">
        <f aca="false">B32/B33</f>
        <v>0</v>
      </c>
      <c r="D32" s="22" t="n">
        <f aca="false">B32</f>
        <v>0</v>
      </c>
      <c r="E32" s="22" t="n">
        <f aca="false">C32</f>
        <v>0</v>
      </c>
      <c r="F32" s="22" t="n">
        <f aca="false">(N13/(N13+1))*D32</f>
        <v>0</v>
      </c>
      <c r="G32" s="22" t="n">
        <f aca="false">F32/F33</f>
        <v>0</v>
      </c>
      <c r="H32" s="22" t="n">
        <f aca="false">(1-N10/(N10+1))*D32</f>
        <v>0</v>
      </c>
      <c r="I32" s="22" t="n">
        <f aca="false">H32/H33</f>
        <v>0</v>
      </c>
      <c r="J32" s="22" t="n">
        <f aca="false">J22</f>
        <v>0</v>
      </c>
      <c r="K32" s="22" t="n">
        <f aca="false">J32/J33</f>
        <v>0</v>
      </c>
      <c r="Q32" s="6" t="s">
        <v>42</v>
      </c>
      <c r="R32" s="23" t="n">
        <f aca="false">($AD$8*(S27-$AH$8))+($AE$8/2)*((S27^2-$AH$8^2))+($AF$8/3)*((S27^3-$AH$8^3))+($AG$8/4)*((S27^4-$AH$8^4))</f>
        <v>6177.03610651752</v>
      </c>
      <c r="S32" s="24" t="n">
        <f aca="false">R32*57</f>
        <v>352091.058071498</v>
      </c>
      <c r="T32" s="23" t="n">
        <f aca="false">($AD$8*(U27-$AH$8))+($AE$8/2)*((U27^2-$AH$8^2))+($AF$8/3)*((U27^3-$AH$8^3))+($AG$8/4)*((U27^4-$AH$8^4))</f>
        <v>6177.03610651752</v>
      </c>
      <c r="U32" s="24" t="n">
        <f aca="false">T32*57</f>
        <v>352091.058071498</v>
      </c>
      <c r="V32" s="23" t="n">
        <f aca="false">($AD$8*(W27-$AH$8))+($AE$8/2)*((W27^2-$AH$8^2))+($AF$8/3)*((W27^3-$AH$8^3))+($AG$8/4)*((W27^4-$AH$8^4))</f>
        <v>6177.03610651752</v>
      </c>
      <c r="W32" s="24" t="n">
        <f aca="false">V32*57</f>
        <v>352091.058071498</v>
      </c>
      <c r="X32" s="23" t="n">
        <f aca="false">($AD$8*(Y27-$AH$8))+($AE$8/2)*((Y27^2-$AH$8^2))+($AF$8/3)*((Y27^3-$AH$8^3))+($AG$8/4)*((Y27^4-$AH$8^4))</f>
        <v>6177.03610651752</v>
      </c>
      <c r="Y32" s="24" t="n">
        <f aca="false">X32*57</f>
        <v>352091.058071498</v>
      </c>
      <c r="Z32" s="23" t="n">
        <f aca="false">($AD$8*(AA27-$AH$8))+($AE$8/2)*((AA27^2-$AH$8^2))+($AF$8/3)*((AA27^3-$AH$8^3))+($AG$8/4)*((AA27^4-$AH$8^4))</f>
        <v>6177.03610651752</v>
      </c>
      <c r="AA32" s="24" t="n">
        <f aca="false">Z32*57</f>
        <v>352091.058071498</v>
      </c>
      <c r="AJ32" s="0" t="n">
        <f aca="false">(75/4)*(4*AD5+1342*AE5+452116*AF5+152943043*AG5)</f>
        <v>3508.54337500575</v>
      </c>
      <c r="AN32" s="0" t="n">
        <f aca="false">S10/3600</f>
        <v>0</v>
      </c>
      <c r="AP32" s="27" t="n">
        <f aca="false">U10/3600</f>
        <v>0</v>
      </c>
    </row>
    <row r="33" customFormat="false" ht="13.8" hidden="false" customHeight="false" outlineLevel="0" collapsed="false">
      <c r="A33" s="9" t="s">
        <v>53</v>
      </c>
      <c r="B33" s="30" t="n">
        <f aca="false">SUM(B27:B32)</f>
        <v>122.0455</v>
      </c>
      <c r="C33" s="30" t="n">
        <f aca="false">SUM(C27:C32)</f>
        <v>1</v>
      </c>
      <c r="D33" s="30" t="n">
        <f aca="false">SUM(D27:D32)</f>
        <v>122.0455</v>
      </c>
      <c r="E33" s="30" t="n">
        <f aca="false">SUM(E27:E32)</f>
        <v>1</v>
      </c>
      <c r="F33" s="30" t="n">
        <f aca="false">SUM(F27:F32)</f>
        <v>81.3636666666667</v>
      </c>
      <c r="G33" s="30" t="n">
        <f aca="false">SUM(G27:G32)</f>
        <v>1</v>
      </c>
      <c r="H33" s="30" t="n">
        <f aca="false">SUM(H27:H32)</f>
        <v>40.6818333333333</v>
      </c>
      <c r="I33" s="30" t="n">
        <f aca="false">SUM(I27:I32)</f>
        <v>1</v>
      </c>
      <c r="J33" s="30" t="n">
        <f aca="false">SUM(J27:J32)</f>
        <v>24.6445</v>
      </c>
      <c r="K33" s="30" t="n">
        <f aca="false">SUM(K27:K32)</f>
        <v>1</v>
      </c>
      <c r="Q33" s="6" t="s">
        <v>46</v>
      </c>
      <c r="R33" s="23" t="n">
        <f aca="false">($AD$9*(S27-$AH$9))+($AE$9/2)*((S27^2-$AH$9^2))+($AF$9/3)*((S27^3-$AH$9^3))+($AG$9/4)*((S27^4-$AH$9^4))</f>
        <v>9454.81425518154</v>
      </c>
      <c r="S33" s="24" t="n">
        <f aca="false">R33*22.31</f>
        <v>210936.9060331</v>
      </c>
      <c r="T33" s="23" t="n">
        <f aca="false">($AD$9*(U27-$AH$9))+($AE$9/2)*((U27^2-$AH$9^2))+($AF$9/3)*((U27^3-$AH$9^3))+($AG$9/4)*((U27^4-$AH$9^4))</f>
        <v>9454.81425518154</v>
      </c>
      <c r="U33" s="24" t="n">
        <f aca="false">T33*22.31</f>
        <v>210936.9060331</v>
      </c>
      <c r="V33" s="23" t="n">
        <f aca="false">($AD$9*(W27-$AH$9))+($AE$9/2)*((W27^2-$AH$9^2))+($AF$9/3)*((W27^3-$AH$9^3))+($AG$9/4)*((W27^4-$AH$9^4))</f>
        <v>9454.81425518154</v>
      </c>
      <c r="W33" s="24" t="n">
        <f aca="false">V33*22.31</f>
        <v>210936.9060331</v>
      </c>
      <c r="X33" s="23" t="n">
        <f aca="false">($AD$9*(Y27-$AH$9))+($AE$9/2)*((Y27^2-$AH$9^2))+($AF$9/3)*((Y27^3-$AH$9^3))+($AG$9/4)*((Y27^4-$AH$9^4))</f>
        <v>9454.81425518154</v>
      </c>
      <c r="Y33" s="24" t="n">
        <f aca="false">X33*22.31</f>
        <v>210936.9060331</v>
      </c>
      <c r="Z33" s="23" t="n">
        <f aca="false">($AD$9*(AA27-$AH$9))+($AE$9/2)*((AA27^2-$AH$9^2))+($AF$9/3)*((AA27^3-$AH$9^3))+($AG$9/4)*((AA27^4-$AH$9^4))</f>
        <v>9454.81425518154</v>
      </c>
      <c r="AA33" s="24" t="n">
        <f aca="false">Z33*22.31</f>
        <v>210936.9060331</v>
      </c>
      <c r="AJ33" s="0" t="n">
        <f aca="false">(75/4)*(4*AD6+1342*AE6+452116*AF6+152943043*AG6)</f>
        <v>6236.44996707956</v>
      </c>
      <c r="AN33" s="0" t="n">
        <f aca="false">S11/3600</f>
        <v>0</v>
      </c>
      <c r="AP33" s="27" t="n">
        <f aca="false">U11/3600</f>
        <v>0</v>
      </c>
    </row>
    <row r="34" customFormat="false" ht="13.8" hidden="false" customHeight="false" outlineLevel="0" collapsed="false">
      <c r="Q34" s="6" t="s">
        <v>50</v>
      </c>
      <c r="R34" s="23" t="n">
        <f aca="false">($AD$10*(S27-$AH$10))+($AE$10/2)*((S27^2-$AH$10^2))+($AF$10/3)*((S27^3-$AH$10^3))+($AG$10/4)*((S27^4-$AH$10^4))</f>
        <v>2203.77073700678</v>
      </c>
      <c r="S34" s="24"/>
      <c r="T34" s="23" t="n">
        <f aca="false">($AD$10*(U27-$AH$10))+($AE$10/2)*((U27^2-$AH$10^2))+($AF$10/3)*((U27^3-$AH$10^3))+($AG$10/4)*((U27^4-$AH$10^4))</f>
        <v>2203.77073700678</v>
      </c>
      <c r="U34" s="24"/>
      <c r="V34" s="23" t="n">
        <f aca="false">($AD$10*(W27-$AH$10))+($AE$10/2)*((W27^2-$AH$10^2))+($AF$10/3)*((W27^3-$AH$10^3))+($AG$10/4)*((W27^4-$AH$10^4))</f>
        <v>2203.77073700678</v>
      </c>
      <c r="W34" s="24"/>
      <c r="X34" s="23" t="n">
        <f aca="false">($AD$10*(Y27-$AH$10))+($AE$10/2)*((Y27^2-$AH$10^2))+($AF$10/3)*((Y27^3-$AH$10^3))+($AG$10/4)*((Y27^4-$AH$10^4))</f>
        <v>2203.77073700678</v>
      </c>
      <c r="Y34" s="24"/>
      <c r="Z34" s="23" t="n">
        <f aca="false">($AD$10*(AA27-$AH$10))+($AE$10/2)*((AA27^2-$AH$10^2))+($AF$10/3)*((AA27^3-$AH$10^3))+($AG$10/4)*((AA27^4-$AH$10^4))</f>
        <v>2203.77073700678</v>
      </c>
      <c r="AA34" s="24"/>
      <c r="AG34" s="0" t="n">
        <f aca="false">(65/12)*(12*AD5+3966*AE5+1314988*AF5+437396259*AG5)</f>
        <v>3015.20257053882</v>
      </c>
      <c r="AJ34" s="0" t="n">
        <f aca="false">(75/4)*(4*AD7+1342*AE7+452116*AF7+152943043*AG7)</f>
        <v>7105.62393285249</v>
      </c>
      <c r="AN34" s="0" t="n">
        <f aca="false">SUM(AN29:AN33)</f>
        <v>0</v>
      </c>
      <c r="AP34" s="27" t="n">
        <f aca="false">SUM(AP29:AP33)</f>
        <v>0</v>
      </c>
    </row>
    <row r="35" customFormat="false" ht="13.8" hidden="false" customHeight="false" outlineLevel="0" collapsed="false">
      <c r="A35" s="9" t="s">
        <v>6</v>
      </c>
      <c r="B35" s="10" t="n">
        <v>16</v>
      </c>
      <c r="C35" s="10"/>
      <c r="D35" s="10" t="n">
        <v>17</v>
      </c>
      <c r="E35" s="10"/>
      <c r="F35" s="10" t="s">
        <v>77</v>
      </c>
      <c r="G35" s="10"/>
      <c r="H35" s="10" t="n">
        <v>20</v>
      </c>
      <c r="I35" s="10"/>
      <c r="J35" s="10" t="n">
        <v>21</v>
      </c>
      <c r="K35" s="10"/>
      <c r="M35" s="34" t="s">
        <v>78</v>
      </c>
      <c r="N35" s="34"/>
      <c r="O35" s="34"/>
      <c r="Q35" s="6" t="s">
        <v>53</v>
      </c>
      <c r="R35" s="31" t="n">
        <f aca="false">SUM(R29:R34)</f>
        <v>32270.697434654</v>
      </c>
      <c r="S35" s="24" t="n">
        <f aca="false">SUM(S29:S34)</f>
        <v>829144.506831196</v>
      </c>
      <c r="T35" s="31" t="n">
        <f aca="false">SUM(T29:T34)</f>
        <v>32270.697434654</v>
      </c>
      <c r="U35" s="24" t="n">
        <f aca="false">SUM(U29:U34)</f>
        <v>829144.506831196</v>
      </c>
      <c r="V35" s="31" t="n">
        <f aca="false">SUM(V29:V34)</f>
        <v>32270.697434654</v>
      </c>
      <c r="W35" s="24" t="n">
        <f aca="false">SUM(W29:W34)</f>
        <v>829144.506831196</v>
      </c>
      <c r="X35" s="31" t="n">
        <f aca="false">SUM(X29:X34)</f>
        <v>32270.697434654</v>
      </c>
      <c r="Y35" s="24" t="n">
        <f aca="false">SUM(Y29:Y34)</f>
        <v>829144.506831196</v>
      </c>
      <c r="Z35" s="31" t="n">
        <f aca="false">SUM(Z29:Z34)</f>
        <v>32270.697434654</v>
      </c>
      <c r="AA35" s="24" t="n">
        <f aca="false">SUM(AA29:AA34)</f>
        <v>829144.506831196</v>
      </c>
      <c r="AB35" s="35" t="s">
        <v>79</v>
      </c>
      <c r="AG35" s="0" t="n">
        <f aca="false">(65/12)*(12*AD6+3966*AE6+1314988*AF6+437396259*AG6)</f>
        <v>5337.1693733841</v>
      </c>
      <c r="AJ35" s="0" t="n">
        <f aca="false">(75/4)*(4*AD8+1342*AE8+452116*AF8+152943043*AG8)</f>
        <v>7204.15162324637</v>
      </c>
    </row>
    <row r="36" customFormat="false" ht="13.8" hidden="false" customHeight="false" outlineLevel="0" collapsed="false">
      <c r="A36" s="9" t="s">
        <v>30</v>
      </c>
      <c r="B36" s="18" t="s">
        <v>31</v>
      </c>
      <c r="C36" s="18" t="s">
        <v>32</v>
      </c>
      <c r="D36" s="18" t="s">
        <v>31</v>
      </c>
      <c r="E36" s="18" t="s">
        <v>32</v>
      </c>
      <c r="F36" s="18" t="s">
        <v>31</v>
      </c>
      <c r="G36" s="18" t="s">
        <v>32</v>
      </c>
      <c r="H36" s="18" t="s">
        <v>31</v>
      </c>
      <c r="I36" s="18" t="s">
        <v>32</v>
      </c>
      <c r="J36" s="19" t="s">
        <v>31</v>
      </c>
      <c r="K36" s="18" t="s">
        <v>32</v>
      </c>
      <c r="M36" s="36" t="s">
        <v>80</v>
      </c>
      <c r="N36" s="37" t="s">
        <v>81</v>
      </c>
      <c r="O36" s="38" t="s">
        <v>82</v>
      </c>
      <c r="AC36" s="0" t="s">
        <v>83</v>
      </c>
      <c r="AG36" s="0" t="n">
        <f aca="false">(65/12)*(12*AD7+3966*AE7+1314988*AF7+437396259*AG7)</f>
        <v>6082.70439202524</v>
      </c>
      <c r="AJ36" s="0" t="n">
        <f aca="false">(75/4)*(4*AD9+1342*AE9+452116*AF9+152943043*AG9)</f>
        <v>11040.704905701</v>
      </c>
    </row>
    <row r="37" customFormat="false" ht="13.8" hidden="false" customHeight="false" outlineLevel="0" collapsed="false">
      <c r="A37" s="9" t="s">
        <v>38</v>
      </c>
      <c r="B37" s="22" t="n">
        <f aca="false">C37*B43</f>
        <v>1.1635125</v>
      </c>
      <c r="C37" s="22" t="n">
        <v>0.95</v>
      </c>
      <c r="D37" s="22" t="n">
        <f aca="false">E37*D43</f>
        <v>1.1709875</v>
      </c>
      <c r="E37" s="22" t="n">
        <v>0.05</v>
      </c>
      <c r="F37" s="22" t="n">
        <v>0</v>
      </c>
      <c r="G37" s="22" t="n">
        <f aca="false">F37/F43</f>
        <v>0</v>
      </c>
      <c r="H37" s="22" t="n">
        <f aca="false">0</f>
        <v>0</v>
      </c>
      <c r="I37" s="22" t="n">
        <f aca="false">H37/H43</f>
        <v>0</v>
      </c>
      <c r="J37" s="22" t="n">
        <f aca="false">H27-H37</f>
        <v>14.7851666666667</v>
      </c>
      <c r="K37" s="22" t="n">
        <f aca="false">J37/J43</f>
        <v>0.5</v>
      </c>
      <c r="M37" s="39" t="n">
        <f aca="false">C37*O37+E37*O38</f>
        <v>2.3345</v>
      </c>
      <c r="N37" s="40" t="n">
        <f aca="false">J27</f>
        <v>2.3345</v>
      </c>
      <c r="O37" s="41" t="n">
        <v>1.22475</v>
      </c>
      <c r="Q37" s="6" t="s">
        <v>6</v>
      </c>
      <c r="R37" s="7" t="s">
        <v>65</v>
      </c>
      <c r="S37" s="7"/>
      <c r="T37" s="7" t="s">
        <v>66</v>
      </c>
      <c r="U37" s="7"/>
      <c r="V37" s="7" t="s">
        <v>67</v>
      </c>
      <c r="W37" s="7"/>
      <c r="X37" s="7" t="s">
        <v>68</v>
      </c>
      <c r="Y37" s="7"/>
      <c r="Z37" s="7" t="s">
        <v>69</v>
      </c>
      <c r="AA37" s="7"/>
      <c r="AB37" s="0" t="s">
        <v>84</v>
      </c>
      <c r="AC37" s="0" t="n">
        <f aca="false">AB1*1000</f>
        <v>7068534.94969602</v>
      </c>
      <c r="AG37" s="0" t="n">
        <f aca="false">(65/12)*(12*AD8+3966*AE8+1314988*AF8+437396259*AG8)</f>
        <v>6177.03610651751</v>
      </c>
      <c r="AJ37" s="0" t="n">
        <f aca="false">(75/4)*(4*AD10+1342*AE10+452116*AF10+152943043*AG10)</f>
        <v>2545.78006060072</v>
      </c>
    </row>
    <row r="38" customFormat="false" ht="14.9" hidden="false" customHeight="false" outlineLevel="0" collapsed="false">
      <c r="A38" s="9" t="s">
        <v>41</v>
      </c>
      <c r="B38" s="22" t="n">
        <f aca="false">C38*B43</f>
        <v>0</v>
      </c>
      <c r="C38" s="22" t="n">
        <v>0</v>
      </c>
      <c r="D38" s="22" t="n">
        <f aca="false">E38*D43</f>
        <v>0</v>
      </c>
      <c r="E38" s="22" t="n">
        <v>0</v>
      </c>
      <c r="F38" s="22" t="n">
        <v>0</v>
      </c>
      <c r="G38" s="22" t="n">
        <f aca="false">F38/F43</f>
        <v>0</v>
      </c>
      <c r="H38" s="22" t="n">
        <f aca="false">H28</f>
        <v>0.23</v>
      </c>
      <c r="I38" s="22" t="n">
        <f aca="false">H38/H43</f>
        <v>0.0088814519243146</v>
      </c>
      <c r="J38" s="22" t="n">
        <f aca="false">H28-H38</f>
        <v>0</v>
      </c>
      <c r="K38" s="22" t="n">
        <f aca="false">J38/J43</f>
        <v>0</v>
      </c>
      <c r="M38" s="42" t="n">
        <f aca="false">C41*O37+E41*O38</f>
        <v>22.31</v>
      </c>
      <c r="N38" s="43" t="n">
        <f aca="false">J31</f>
        <v>22.31</v>
      </c>
      <c r="O38" s="44" t="n">
        <v>23.41975</v>
      </c>
      <c r="Q38" s="14" t="s">
        <v>28</v>
      </c>
      <c r="R38" s="15" t="n">
        <v>1</v>
      </c>
      <c r="S38" s="15" t="n">
        <v>363</v>
      </c>
      <c r="T38" s="15" t="n">
        <v>1</v>
      </c>
      <c r="U38" s="15" t="n">
        <v>363</v>
      </c>
      <c r="V38" s="15" t="n">
        <v>1</v>
      </c>
      <c r="W38" s="15" t="n">
        <v>363</v>
      </c>
      <c r="X38" s="15" t="n">
        <v>1</v>
      </c>
      <c r="Y38" s="15" t="n">
        <v>363</v>
      </c>
      <c r="Z38" s="15" t="n">
        <v>1</v>
      </c>
      <c r="AA38" s="15" t="n">
        <v>363</v>
      </c>
      <c r="AB38" s="0" t="s">
        <v>85</v>
      </c>
      <c r="AC38" s="1" t="n">
        <f aca="false">(78.61*AD7 + 26515.5*AE7 + 8.9843031461885*10^6*AF7 + 3.05775915234149*10^9*AG7)*1000</f>
        <v>7480395.12515359</v>
      </c>
      <c r="AG38" s="0" t="n">
        <f aca="false">(65/12)*(12*AD9+3966*AE9+1314988*AF9+437396259*AG9)</f>
        <v>9454.81425518154</v>
      </c>
      <c r="AJ38" s="0" t="n">
        <f aca="false">(75/4)*(4*AD11+1342*AE11+452116*AF11+152943043*AG11)</f>
        <v>0</v>
      </c>
    </row>
    <row r="39" customFormat="false" ht="13.8" hidden="false" customHeight="false" outlineLevel="0" collapsed="false">
      <c r="A39" s="9" t="s">
        <v>43</v>
      </c>
      <c r="B39" s="22" t="n">
        <f aca="false">C39*B43</f>
        <v>0</v>
      </c>
      <c r="C39" s="22" t="n">
        <v>0</v>
      </c>
      <c r="D39" s="22" t="n">
        <f aca="false">E39*D43</f>
        <v>0</v>
      </c>
      <c r="E39" s="22" t="n">
        <v>0</v>
      </c>
      <c r="F39" s="22" t="n">
        <v>0</v>
      </c>
      <c r="G39" s="22" t="n">
        <f aca="false">F39/F43</f>
        <v>0</v>
      </c>
      <c r="H39" s="22" t="n">
        <f aca="false">H29</f>
        <v>6.66666666666667</v>
      </c>
      <c r="I39" s="22" t="n">
        <f aca="false">H39/H43</f>
        <v>0.257433389110568</v>
      </c>
      <c r="J39" s="22" t="n">
        <f aca="false">H29-H39</f>
        <v>0</v>
      </c>
      <c r="K39" s="22" t="n">
        <f aca="false">J39/J43</f>
        <v>0</v>
      </c>
      <c r="Q39" s="6" t="s">
        <v>30</v>
      </c>
      <c r="R39" s="21" t="s">
        <v>36</v>
      </c>
      <c r="S39" s="21" t="s">
        <v>35</v>
      </c>
      <c r="T39" s="21" t="s">
        <v>36</v>
      </c>
      <c r="U39" s="21" t="s">
        <v>35</v>
      </c>
      <c r="V39" s="21" t="s">
        <v>36</v>
      </c>
      <c r="W39" s="21" t="s">
        <v>35</v>
      </c>
      <c r="X39" s="21" t="s">
        <v>36</v>
      </c>
      <c r="Y39" s="21" t="s">
        <v>35</v>
      </c>
      <c r="Z39" s="21" t="s">
        <v>36</v>
      </c>
      <c r="AA39" s="21" t="s">
        <v>35</v>
      </c>
      <c r="AB39" s="0" t="s">
        <v>86</v>
      </c>
      <c r="AC39" s="0" t="n">
        <f aca="false">(78.51*AD7 + 26477.9*AE7 + 8.97012341142657*10^6*AF7 + 3.05241963177625*10^9*AG7)*1000</f>
        <v>7469993.84044106</v>
      </c>
      <c r="AG39" s="0" t="n">
        <f aca="false">(65/12)*(12*AD10+3966*AE10+1314988*AF10+437396259*AG10)</f>
        <v>2203.77073700678</v>
      </c>
    </row>
    <row r="40" customFormat="false" ht="14.9" hidden="false" customHeight="false" outlineLevel="0" collapsed="false">
      <c r="A40" s="9" t="s">
        <v>42</v>
      </c>
      <c r="B40" s="22" t="n">
        <f aca="false">C40*B43</f>
        <v>0</v>
      </c>
      <c r="C40" s="22" t="n">
        <v>0</v>
      </c>
      <c r="D40" s="22" t="n">
        <f aca="false">E40*D43</f>
        <v>0</v>
      </c>
      <c r="E40" s="22" t="n">
        <v>0</v>
      </c>
      <c r="F40" s="22" t="n">
        <v>0</v>
      </c>
      <c r="G40" s="22" t="n">
        <f aca="false">F40/F43</f>
        <v>0</v>
      </c>
      <c r="H40" s="22" t="n">
        <f aca="false">H30</f>
        <v>19</v>
      </c>
      <c r="I40" s="22" t="n">
        <f aca="false">H40/H43</f>
        <v>0.733685158965118</v>
      </c>
      <c r="J40" s="22" t="n">
        <f aca="false">H30-H40</f>
        <v>0</v>
      </c>
      <c r="K40" s="22" t="n">
        <f aca="false">J40/J43</f>
        <v>0</v>
      </c>
      <c r="Q40" s="6" t="s">
        <v>38</v>
      </c>
      <c r="R40" s="23" t="n">
        <f aca="false">($AD$5*(S38-$AH$5))+($AE$5/2)*((S38^2-$AH$5^2))+($AF$5/3)*((S38^3-$AH$5^3))+($AG$5/4)*((S38^4-$AH$5^4))</f>
        <v>3015.20257053882</v>
      </c>
      <c r="S40" s="24" t="n">
        <f aca="false">R40*46.69</f>
        <v>140779.808018457</v>
      </c>
      <c r="T40" s="23" t="n">
        <f aca="false">($AD$5*(U38-$AH$5))+($AE$5/2)*((U38^2-$AH$5^2))+($AF$5/3)*((U38^3-$AH$5^3))+($AG$5/4)*((U38^4-$AH$5^4))</f>
        <v>3015.20257053882</v>
      </c>
      <c r="U40" s="24" t="n">
        <f aca="false">T40*46.69</f>
        <v>140779.808018457</v>
      </c>
      <c r="V40" s="23" t="n">
        <f aca="false">($AD$5*(W38-$AH$5))+($AE$5/2)*((W38^2-$AH$5^2))+($AF$5/3)*((W38^3-$AH$5^3))+($AG$5/4)*((W38^4-$AH$5^4))</f>
        <v>3015.20257053882</v>
      </c>
      <c r="W40" s="24" t="n">
        <f aca="false">V40*46.69</f>
        <v>140779.808018457</v>
      </c>
      <c r="X40" s="23" t="n">
        <f aca="false">($AD$5*(Y38-$AH$5))+($AE$5/2)*((Y38^2-$AH$5^2))+($AF$5/3)*((Y38^3-$AH$5^3))+($AG$5/4)*((Y38^4-$AH$5^4))</f>
        <v>3015.20257053882</v>
      </c>
      <c r="Y40" s="24" t="n">
        <f aca="false">X40*46.69</f>
        <v>140779.808018457</v>
      </c>
      <c r="Z40" s="23" t="n">
        <f aca="false">($AD$5*(AA38-$AH$5))+($AE$5/2)*((AA38^2-$AH$5^2))+($AF$5/3)*((AA38^3-$AH$5^3))+($AG$5/4)*((AA38^4-$AH$5^4))</f>
        <v>3015.20257053882</v>
      </c>
      <c r="AA40" s="24" t="n">
        <f aca="false">Z40*46.69</f>
        <v>140779.808018457</v>
      </c>
      <c r="AB40" s="0" t="s">
        <v>87</v>
      </c>
      <c r="AC40" s="1" t="n">
        <f aca="false">(89.26*AD8 + 30583.1*AE8 + 1.0537964589728*10^7*AF8 + 3.65123367885495*10^9*AG8)*1000</f>
        <v>8703410.53978315</v>
      </c>
      <c r="AG40" s="0" t="n">
        <f aca="false">SUM(AG34:AG39)</f>
        <v>32270.697434654</v>
      </c>
    </row>
    <row r="41" customFormat="false" ht="13.8" hidden="false" customHeight="false" outlineLevel="0" collapsed="false">
      <c r="A41" s="9" t="s">
        <v>46</v>
      </c>
      <c r="B41" s="22" t="n">
        <f aca="false">C41*B43</f>
        <v>0.0612375</v>
      </c>
      <c r="C41" s="22" t="n">
        <v>0.05</v>
      </c>
      <c r="D41" s="22" t="n">
        <f aca="false">E41*D43</f>
        <v>22.2487625</v>
      </c>
      <c r="E41" s="22" t="n">
        <v>0.95</v>
      </c>
      <c r="F41" s="22" t="n">
        <v>0</v>
      </c>
      <c r="G41" s="22" t="n">
        <f aca="false">F41/F43</f>
        <v>0</v>
      </c>
      <c r="H41" s="22" t="n">
        <v>0</v>
      </c>
      <c r="I41" s="22" t="n">
        <f aca="false">H41/H43</f>
        <v>0</v>
      </c>
      <c r="J41" s="22" t="n">
        <f aca="false">H31-H41</f>
        <v>0</v>
      </c>
      <c r="K41" s="22" t="n">
        <f aca="false">J41/J43</f>
        <v>0</v>
      </c>
      <c r="Q41" s="6" t="s">
        <v>41</v>
      </c>
      <c r="R41" s="23" t="n">
        <f aca="false">($AD$6*(S38-$AH$6))+($AE$6/2)*((S38^2-$AH$6^2))+($AF$6/3)*((S38^3-$AH$6^3))+($AG$6/4)*((S38^4-$AH$6^4))</f>
        <v>5337.1693733841</v>
      </c>
      <c r="S41" s="24" t="n">
        <f aca="false">R41*0.69</f>
        <v>3682.64686763503</v>
      </c>
      <c r="T41" s="23" t="n">
        <f aca="false">($AD$6*(U38-$AH$6))+($AE$6/2)*((U38^2-$AH$6^2))+($AF$6/3)*((U38^3-$AH$6^3))+($AG$6/4)*((U38^4-$AH$6^4))</f>
        <v>5337.1693733841</v>
      </c>
      <c r="U41" s="24" t="n">
        <f aca="false">T41*0.69</f>
        <v>3682.64686763503</v>
      </c>
      <c r="V41" s="23" t="n">
        <f aca="false">($AD$6*(W38-$AH$6))+($AE$6/2)*((W38^2-$AH$6^2))+($AF$6/3)*((W38^3-$AH$6^3))+($AG$6/4)*((W38^4-$AH$6^4))</f>
        <v>5337.1693733841</v>
      </c>
      <c r="W41" s="24" t="n">
        <f aca="false">V41*0.69</f>
        <v>3682.64686763503</v>
      </c>
      <c r="X41" s="23" t="n">
        <f aca="false">($AD$6*(Y38-$AH$6))+($AE$6/2)*((Y38^2-$AH$6^2))+($AF$6/3)*((Y38^3-$AH$6^3))+($AG$6/4)*((Y38^4-$AH$6^4))</f>
        <v>5337.1693733841</v>
      </c>
      <c r="Y41" s="24" t="n">
        <f aca="false">X41*0.69</f>
        <v>3682.64686763503</v>
      </c>
      <c r="Z41" s="23" t="n">
        <f aca="false">($AD$6*(AA38-$AH$6))+($AE$6/2)*((AA38^2-$AH$6^2))+($AF$6/3)*((AA38^3-$AH$6^3))+($AG$6/4)*((AA38^4-$AH$6^4))</f>
        <v>5337.1693733841</v>
      </c>
      <c r="AA41" s="24" t="n">
        <f aca="false">Z41*0.69</f>
        <v>3682.64686763503</v>
      </c>
    </row>
    <row r="42" customFormat="false" ht="13.8" hidden="false" customHeight="false" outlineLevel="0" collapsed="false">
      <c r="A42" s="9" t="s">
        <v>50</v>
      </c>
      <c r="B42" s="22" t="n">
        <f aca="false">C42*B43</f>
        <v>0</v>
      </c>
      <c r="C42" s="22" t="n">
        <v>0</v>
      </c>
      <c r="D42" s="22" t="n">
        <f aca="false">E42*D43</f>
        <v>0</v>
      </c>
      <c r="E42" s="22" t="n">
        <v>0</v>
      </c>
      <c r="F42" s="22" t="n">
        <f aca="false">H27</f>
        <v>14.7851666666667</v>
      </c>
      <c r="G42" s="22" t="n">
        <f aca="false">F42/F43</f>
        <v>1</v>
      </c>
      <c r="H42" s="22" t="n">
        <v>0</v>
      </c>
      <c r="I42" s="22" t="n">
        <f aca="false">H42/H43</f>
        <v>0</v>
      </c>
      <c r="J42" s="22" t="n">
        <f aca="false">F42</f>
        <v>14.7851666666667</v>
      </c>
      <c r="K42" s="22" t="n">
        <f aca="false">J42/J43</f>
        <v>0.5</v>
      </c>
      <c r="Q42" s="6" t="s">
        <v>43</v>
      </c>
      <c r="R42" s="23" t="n">
        <f aca="false">($AD$7*(S38-$AH$7))+($AE$7/2)*((S38^2-$AH$7^2))+($AF$7/3)*((S38^3-$AH$7^3))+($AG$7/4)*((S38^4-$AH$7^4))</f>
        <v>6082.70439202524</v>
      </c>
      <c r="S42" s="24" t="n">
        <f aca="false">R42*20</f>
        <v>121654.087840505</v>
      </c>
      <c r="T42" s="23" t="n">
        <f aca="false">($AD$7*(U38-$AH$7))+($AE$7/2)*((U38^2-$AH$7^2))+($AF$7/3)*((U38^3-$AH$7^3))+($AG$7/4)*((U38^4-$AH$7^4))</f>
        <v>6082.70439202524</v>
      </c>
      <c r="U42" s="24" t="n">
        <f aca="false">T42*20</f>
        <v>121654.087840505</v>
      </c>
      <c r="V42" s="23" t="n">
        <f aca="false">($AD$7*(W38-$AH$7))+($AE$7/2)*((W38^2-$AH$7^2))+($AF$7/3)*((W38^3-$AH$7^3))+($AG$7/4)*((W38^4-$AH$7^4))</f>
        <v>6082.70439202524</v>
      </c>
      <c r="W42" s="24" t="n">
        <f aca="false">V42*20</f>
        <v>121654.087840505</v>
      </c>
      <c r="X42" s="23" t="n">
        <f aca="false">($AD$7*(Y38-$AH$7))+($AE$7/2)*((Y38^2-$AH$7^2))+($AF$7/3)*((Y38^3-$AH$7^3))+($AG$7/4)*((Y38^4-$AH$7^4))</f>
        <v>6082.70439202524</v>
      </c>
      <c r="Y42" s="24" t="n">
        <f aca="false">X42*20</f>
        <v>121654.087840505</v>
      </c>
      <c r="Z42" s="23" t="n">
        <f aca="false">($AD$7*(AA38-$AH$7))+($AE$7/2)*((AA38^2-$AH$7^2))+($AF$7/3)*((AA38^3-$AH$7^3))+($AG$7/4)*((AA38^4-$AH$7^4))</f>
        <v>6082.70439202524</v>
      </c>
      <c r="AA42" s="24" t="n">
        <f aca="false">Z42*20</f>
        <v>121654.087840505</v>
      </c>
    </row>
    <row r="43" customFormat="false" ht="13.8" hidden="false" customHeight="false" outlineLevel="0" collapsed="false">
      <c r="A43" s="9" t="s">
        <v>53</v>
      </c>
      <c r="B43" s="30" t="n">
        <f aca="false">O37</f>
        <v>1.22475</v>
      </c>
      <c r="C43" s="30" t="n">
        <f aca="false">SUM(C37:C42)</f>
        <v>1</v>
      </c>
      <c r="D43" s="30" t="n">
        <f aca="false">O38</f>
        <v>23.41975</v>
      </c>
      <c r="E43" s="30" t="n">
        <f aca="false">SUM(E37:E42)</f>
        <v>1</v>
      </c>
      <c r="F43" s="30" t="n">
        <f aca="false">SUM(F37:F42)</f>
        <v>14.7851666666667</v>
      </c>
      <c r="G43" s="30" t="n">
        <f aca="false">SUM(G37:G42)</f>
        <v>1</v>
      </c>
      <c r="H43" s="30" t="n">
        <f aca="false">SUM(H37:H42)</f>
        <v>25.8966666666667</v>
      </c>
      <c r="I43" s="30" t="n">
        <f aca="false">SUM(I37:I42)</f>
        <v>1</v>
      </c>
      <c r="J43" s="30" t="n">
        <f aca="false">SUM(J37:J42)</f>
        <v>29.5703333333333</v>
      </c>
      <c r="K43" s="30" t="n">
        <f aca="false">SUM(K37:K42)</f>
        <v>1</v>
      </c>
      <c r="Q43" s="6" t="s">
        <v>42</v>
      </c>
      <c r="R43" s="23" t="n">
        <f aca="false">($AD$8*(S38-$AH$8))+($AE$8/2)*((S38^2-$AH$8^2))+($AF$8/3)*((S38^3-$AH$8^3))+($AG$8/4)*((S38^4-$AH$8^4))</f>
        <v>6177.03610651752</v>
      </c>
      <c r="S43" s="24" t="n">
        <f aca="false">R43*57</f>
        <v>352091.058071498</v>
      </c>
      <c r="T43" s="23" t="n">
        <f aca="false">($AD$8*(U38-$AH$8))+($AE$8/2)*((U38^2-$AH$8^2))+($AF$8/3)*((U38^3-$AH$8^3))+($AG$8/4)*((U38^4-$AH$8^4))</f>
        <v>6177.03610651752</v>
      </c>
      <c r="U43" s="24" t="n">
        <f aca="false">T43*57</f>
        <v>352091.058071498</v>
      </c>
      <c r="V43" s="23" t="n">
        <f aca="false">($AD$8*(W38-$AH$8))+($AE$8/2)*((W38^2-$AH$8^2))+($AF$8/3)*((W38^3-$AH$8^3))+($AG$8/4)*((W38^4-$AH$8^4))</f>
        <v>6177.03610651752</v>
      </c>
      <c r="W43" s="24" t="n">
        <f aca="false">V43*57</f>
        <v>352091.058071498</v>
      </c>
      <c r="X43" s="23" t="n">
        <f aca="false">($AD$8*(Y38-$AH$8))+($AE$8/2)*((Y38^2-$AH$8^2))+($AF$8/3)*((Y38^3-$AH$8^3))+($AG$8/4)*((Y38^4-$AH$8^4))</f>
        <v>6177.03610651752</v>
      </c>
      <c r="Y43" s="24" t="n">
        <f aca="false">X43*57</f>
        <v>352091.058071498</v>
      </c>
      <c r="Z43" s="23" t="n">
        <f aca="false">($AD$8*(AA38-$AH$8))+($AE$8/2)*((AA38^2-$AH$8^2))+($AF$8/3)*((AA38^3-$AH$8^3))+($AG$8/4)*((AA38^4-$AH$8^4))</f>
        <v>6177.03610651752</v>
      </c>
      <c r="AA43" s="24" t="n">
        <f aca="false">Z43*57</f>
        <v>352091.058071498</v>
      </c>
    </row>
    <row r="44" customFormat="false" ht="13.8" hidden="false" customHeight="false" outlineLevel="0" collapsed="false">
      <c r="Q44" s="6" t="s">
        <v>46</v>
      </c>
      <c r="R44" s="23" t="n">
        <f aca="false">($AD$9*(S38-$AH$9))+($AE$9/2)*((S38^2-$AH$9^2))+($AF$9/3)*((S38^3-$AH$9^3))+($AG$9/4)*((S38^4-$AH$9^4))</f>
        <v>9454.81425518154</v>
      </c>
      <c r="S44" s="24" t="n">
        <f aca="false">R44*22.31</f>
        <v>210936.9060331</v>
      </c>
      <c r="T44" s="23" t="n">
        <f aca="false">($AD$9*(U38-$AH$9))+($AE$9/2)*((U38^2-$AH$9^2))+($AF$9/3)*((U38^3-$AH$9^3))+($AG$9/4)*((U38^4-$AH$9^4))</f>
        <v>9454.81425518154</v>
      </c>
      <c r="U44" s="24" t="n">
        <f aca="false">T44*22.31</f>
        <v>210936.9060331</v>
      </c>
      <c r="V44" s="23" t="n">
        <f aca="false">($AD$9*(W38-$AH$9))+($AE$9/2)*((W38^2-$AH$9^2))+($AF$9/3)*((W38^3-$AH$9^3))+($AG$9/4)*((W38^4-$AH$9^4))</f>
        <v>9454.81425518154</v>
      </c>
      <c r="W44" s="24" t="n">
        <f aca="false">V44*22.31</f>
        <v>210936.9060331</v>
      </c>
      <c r="X44" s="23" t="n">
        <f aca="false">($AD$9*(Y38-$AH$9))+($AE$9/2)*((Y38^2-$AH$9^2))+($AF$9/3)*((Y38^3-$AH$9^3))+($AG$9/4)*((Y38^4-$AH$9^4))</f>
        <v>9454.81425518154</v>
      </c>
      <c r="Y44" s="24" t="n">
        <f aca="false">X44*22.31</f>
        <v>210936.9060331</v>
      </c>
      <c r="Z44" s="23" t="n">
        <f aca="false">($AD$9*(AA38-$AH$9))+($AE$9/2)*((AA38^2-$AH$9^2))+($AF$9/3)*((AA38^3-$AH$9^3))+($AG$9/4)*((AA38^4-$AH$9^4))</f>
        <v>9454.81425518154</v>
      </c>
      <c r="AA44" s="24" t="n">
        <f aca="false">Z44*22.31</f>
        <v>210936.9060331</v>
      </c>
    </row>
    <row r="45" customFormat="false" ht="13.8" hidden="false" customHeight="false" outlineLevel="0" collapsed="false">
      <c r="A45" s="9" t="s">
        <v>6</v>
      </c>
      <c r="B45" s="10" t="n">
        <v>22</v>
      </c>
      <c r="C45" s="10"/>
      <c r="D45" s="10" t="n">
        <v>23</v>
      </c>
      <c r="E45" s="10"/>
      <c r="F45" s="10" t="n">
        <v>24</v>
      </c>
      <c r="G45" s="10"/>
      <c r="H45" s="10" t="n">
        <v>25</v>
      </c>
      <c r="I45" s="10"/>
      <c r="J45" s="10" t="n">
        <v>26</v>
      </c>
      <c r="K45" s="10"/>
      <c r="Q45" s="6" t="s">
        <v>50</v>
      </c>
      <c r="R45" s="23" t="n">
        <f aca="false">($AD$10*(S38-$AH$10))+($AE$10/2)*((S38^2-$AH$10^2))+($AF$10/3)*((S38^3-$AH$10^3))+($AG$10/4)*((S38^4-$AH$10^4))</f>
        <v>2203.77073700678</v>
      </c>
      <c r="S45" s="24"/>
      <c r="T45" s="23" t="n">
        <f aca="false">($AD$10*(U38-$AH$10))+($AE$10/2)*((U38^2-$AH$10^2))+($AF$10/3)*((U38^3-$AH$10^3))+($AG$10/4)*((U38^4-$AH$10^4))</f>
        <v>2203.77073700678</v>
      </c>
      <c r="U45" s="24"/>
      <c r="V45" s="23" t="n">
        <f aca="false">($AD$10*(W38-$AH$10))+($AE$10/2)*((W38^2-$AH$10^2))+($AF$10/3)*((W38^3-$AH$10^3))+($AG$10/4)*((W38^4-$AH$10^4))</f>
        <v>2203.77073700678</v>
      </c>
      <c r="W45" s="24"/>
      <c r="X45" s="23" t="n">
        <f aca="false">($AD$10*(Y38-$AH$10))+($AE$10/2)*((Y38^2-$AH$10^2))+($AF$10/3)*((Y38^3-$AH$10^3))+($AG$10/4)*((Y38^4-$AH$10^4))</f>
        <v>2203.77073700678</v>
      </c>
      <c r="Y45" s="24"/>
      <c r="Z45" s="23" t="n">
        <f aca="false">($AD$10*(AA38-$AH$10))+($AE$10/2)*((AA38^2-$AH$10^2))+($AF$10/3)*((AA38^3-$AH$10^3))+($AG$10/4)*((AA38^4-$AH$10^4))</f>
        <v>2203.77073700678</v>
      </c>
      <c r="AA45" s="24"/>
    </row>
    <row r="46" customFormat="false" ht="13.8" hidden="false" customHeight="false" outlineLevel="0" collapsed="false">
      <c r="A46" s="9" t="s">
        <v>30</v>
      </c>
      <c r="B46" s="18" t="s">
        <v>31</v>
      </c>
      <c r="C46" s="18" t="s">
        <v>32</v>
      </c>
      <c r="D46" s="18" t="s">
        <v>31</v>
      </c>
      <c r="E46" s="18" t="s">
        <v>32</v>
      </c>
      <c r="F46" s="18" t="s">
        <v>31</v>
      </c>
      <c r="G46" s="18" t="s">
        <v>32</v>
      </c>
      <c r="H46" s="18" t="s">
        <v>31</v>
      </c>
      <c r="I46" s="18" t="s">
        <v>32</v>
      </c>
      <c r="J46" s="19" t="s">
        <v>31</v>
      </c>
      <c r="K46" s="18" t="s">
        <v>32</v>
      </c>
      <c r="Q46" s="6" t="s">
        <v>53</v>
      </c>
      <c r="R46" s="31" t="n">
        <f aca="false">SUM(R40:R45)</f>
        <v>32270.697434654</v>
      </c>
      <c r="S46" s="24" t="n">
        <f aca="false">SUM(S40:S45)</f>
        <v>829144.506831196</v>
      </c>
      <c r="T46" s="31" t="n">
        <f aca="false">SUM(T40:T45)</f>
        <v>32270.697434654</v>
      </c>
      <c r="U46" s="24" t="n">
        <f aca="false">SUM(U40:U45)</f>
        <v>829144.506831196</v>
      </c>
      <c r="V46" s="31" t="n">
        <f aca="false">SUM(V40:V45)</f>
        <v>32270.697434654</v>
      </c>
      <c r="W46" s="24" t="n">
        <f aca="false">SUM(W40:W45)</f>
        <v>829144.506831196</v>
      </c>
      <c r="X46" s="31" t="n">
        <f aca="false">SUM(X40:X45)</f>
        <v>32270.697434654</v>
      </c>
      <c r="Y46" s="24" t="n">
        <f aca="false">SUM(Y40:Y45)</f>
        <v>829144.506831196</v>
      </c>
      <c r="Z46" s="31" t="n">
        <f aca="false">SUM(Z40:Z45)</f>
        <v>32270.697434654</v>
      </c>
      <c r="AA46" s="24" t="n">
        <f aca="false">SUM(AA40:AA45)</f>
        <v>829144.506831196</v>
      </c>
    </row>
    <row r="47" customFormat="false" ht="13.8" hidden="false" customHeight="false" outlineLevel="0" collapsed="false">
      <c r="A47" s="9" t="s">
        <v>38</v>
      </c>
      <c r="B47" s="22" t="n">
        <f aca="false">J37</f>
        <v>14.7851666666667</v>
      </c>
      <c r="C47" s="22" t="n">
        <f aca="false">K37</f>
        <v>0.5</v>
      </c>
      <c r="D47" s="22" t="n">
        <f aca="false">B47*0.8</f>
        <v>11.8281333333333</v>
      </c>
      <c r="E47" s="22" t="n">
        <f aca="false">D47/D53</f>
        <v>1</v>
      </c>
      <c r="F47" s="22" t="n">
        <f aca="false">D47</f>
        <v>11.8281333333333</v>
      </c>
      <c r="G47" s="22" t="n">
        <f aca="false">E47</f>
        <v>1</v>
      </c>
      <c r="H47" s="22" t="n">
        <f aca="false">(N13/(N13+1))*F47</f>
        <v>3.94271111111111</v>
      </c>
      <c r="I47" s="22" t="n">
        <f aca="false">H47/H53</f>
        <v>1</v>
      </c>
      <c r="J47" s="22" t="n">
        <f aca="false">(1-(N13/(N13+1)))*D47</f>
        <v>7.88542222222223</v>
      </c>
      <c r="K47" s="22" t="n">
        <f aca="false">J47/J53</f>
        <v>1</v>
      </c>
    </row>
    <row r="48" customFormat="false" ht="13.8" hidden="false" customHeight="false" outlineLevel="0" collapsed="false">
      <c r="A48" s="9" t="s">
        <v>41</v>
      </c>
      <c r="B48" s="22" t="n">
        <f aca="false">J38</f>
        <v>0</v>
      </c>
      <c r="C48" s="22" t="n">
        <f aca="false">K38</f>
        <v>0</v>
      </c>
      <c r="D48" s="22" t="n">
        <f aca="false">B48</f>
        <v>0</v>
      </c>
      <c r="E48" s="22" t="n">
        <f aca="false">D48/D53</f>
        <v>0</v>
      </c>
      <c r="F48" s="22" t="n">
        <f aca="false">D48</f>
        <v>0</v>
      </c>
      <c r="G48" s="22" t="n">
        <f aca="false">E48</f>
        <v>0</v>
      </c>
      <c r="H48" s="22" t="n">
        <f aca="false">(N14/(N14+1))*F48</f>
        <v>0</v>
      </c>
      <c r="I48" s="22" t="n">
        <f aca="false">H48/H53</f>
        <v>0</v>
      </c>
      <c r="J48" s="22" t="n">
        <f aca="false">(1-(N14/(N14+1)))*D48</f>
        <v>0</v>
      </c>
      <c r="K48" s="22" t="n">
        <f aca="false">J48/J53</f>
        <v>0</v>
      </c>
      <c r="Q48" s="6" t="s">
        <v>6</v>
      </c>
      <c r="R48" s="7" t="s">
        <v>65</v>
      </c>
      <c r="S48" s="7"/>
      <c r="T48" s="7" t="s">
        <v>66</v>
      </c>
      <c r="U48" s="7"/>
      <c r="V48" s="7" t="s">
        <v>67</v>
      </c>
      <c r="W48" s="7"/>
      <c r="X48" s="7" t="s">
        <v>68</v>
      </c>
      <c r="Y48" s="7"/>
      <c r="Z48" s="7" t="s">
        <v>69</v>
      </c>
      <c r="AA48" s="7"/>
    </row>
    <row r="49" customFormat="false" ht="13.8" hidden="false" customHeight="false" outlineLevel="0" collapsed="false">
      <c r="A49" s="9" t="s">
        <v>43</v>
      </c>
      <c r="B49" s="22" t="n">
        <f aca="false">J39</f>
        <v>0</v>
      </c>
      <c r="C49" s="22" t="n">
        <f aca="false">K39</f>
        <v>0</v>
      </c>
      <c r="D49" s="22" t="n">
        <f aca="false">B49</f>
        <v>0</v>
      </c>
      <c r="E49" s="22" t="n">
        <f aca="false">D49/D53</f>
        <v>0</v>
      </c>
      <c r="F49" s="22" t="n">
        <f aca="false">D49</f>
        <v>0</v>
      </c>
      <c r="G49" s="22" t="n">
        <f aca="false">E49</f>
        <v>0</v>
      </c>
      <c r="H49" s="22" t="n">
        <f aca="false">(N15/(N15+1))*F49</f>
        <v>0</v>
      </c>
      <c r="I49" s="22" t="n">
        <f aca="false">H49/H53</f>
        <v>0</v>
      </c>
      <c r="J49" s="22" t="n">
        <f aca="false">(1-(N15/(N15+1)))*D49</f>
        <v>0</v>
      </c>
      <c r="K49" s="22" t="n">
        <f aca="false">J49/J53</f>
        <v>0</v>
      </c>
      <c r="Q49" s="14" t="s">
        <v>28</v>
      </c>
      <c r="R49" s="15" t="n">
        <v>1</v>
      </c>
      <c r="S49" s="15" t="n">
        <v>363</v>
      </c>
      <c r="T49" s="15" t="n">
        <v>1</v>
      </c>
      <c r="U49" s="15" t="n">
        <v>363</v>
      </c>
      <c r="V49" s="15" t="n">
        <v>1</v>
      </c>
      <c r="W49" s="15" t="n">
        <v>363</v>
      </c>
      <c r="X49" s="15" t="n">
        <v>1</v>
      </c>
      <c r="Y49" s="15" t="n">
        <v>363</v>
      </c>
      <c r="Z49" s="15" t="n">
        <v>1</v>
      </c>
      <c r="AA49" s="15" t="n">
        <v>363</v>
      </c>
    </row>
    <row r="50" customFormat="false" ht="13.8" hidden="false" customHeight="false" outlineLevel="0" collapsed="false">
      <c r="A50" s="9" t="s">
        <v>42</v>
      </c>
      <c r="B50" s="22" t="n">
        <f aca="false">J40</f>
        <v>0</v>
      </c>
      <c r="C50" s="22" t="n">
        <f aca="false">K40</f>
        <v>0</v>
      </c>
      <c r="D50" s="22" t="n">
        <f aca="false">B50</f>
        <v>0</v>
      </c>
      <c r="E50" s="22" t="n">
        <f aca="false">D50/D53</f>
        <v>0</v>
      </c>
      <c r="F50" s="22" t="n">
        <f aca="false">D50</f>
        <v>0</v>
      </c>
      <c r="G50" s="22" t="n">
        <f aca="false">E50</f>
        <v>0</v>
      </c>
      <c r="H50" s="22" t="n">
        <f aca="false">(N16/(N16+1))*F50</f>
        <v>0</v>
      </c>
      <c r="I50" s="22" t="n">
        <f aca="false">H50/H53</f>
        <v>0</v>
      </c>
      <c r="J50" s="22" t="n">
        <f aca="false">(1-(N16/(N16+1)))*D50</f>
        <v>0</v>
      </c>
      <c r="K50" s="22" t="n">
        <f aca="false">J50/J53</f>
        <v>0</v>
      </c>
      <c r="Q50" s="6" t="s">
        <v>30</v>
      </c>
      <c r="R50" s="21" t="s">
        <v>36</v>
      </c>
      <c r="S50" s="21" t="s">
        <v>35</v>
      </c>
      <c r="T50" s="21" t="s">
        <v>36</v>
      </c>
      <c r="U50" s="21" t="s">
        <v>35</v>
      </c>
      <c r="V50" s="21" t="s">
        <v>36</v>
      </c>
      <c r="W50" s="21" t="s">
        <v>35</v>
      </c>
      <c r="X50" s="21" t="s">
        <v>36</v>
      </c>
      <c r="Y50" s="21" t="s">
        <v>35</v>
      </c>
      <c r="Z50" s="21" t="s">
        <v>36</v>
      </c>
      <c r="AA50" s="21" t="s">
        <v>35</v>
      </c>
    </row>
    <row r="51" customFormat="false" ht="13.8" hidden="false" customHeight="false" outlineLevel="0" collapsed="false">
      <c r="A51" s="9" t="s">
        <v>46</v>
      </c>
      <c r="B51" s="22" t="n">
        <f aca="false">J41</f>
        <v>0</v>
      </c>
      <c r="C51" s="22" t="n">
        <f aca="false">K41</f>
        <v>0</v>
      </c>
      <c r="D51" s="22" t="n">
        <f aca="false">B51</f>
        <v>0</v>
      </c>
      <c r="E51" s="22" t="n">
        <f aca="false">D51/D53</f>
        <v>0</v>
      </c>
      <c r="F51" s="22" t="n">
        <f aca="false">D51</f>
        <v>0</v>
      </c>
      <c r="G51" s="22" t="n">
        <f aca="false">E51</f>
        <v>0</v>
      </c>
      <c r="H51" s="22" t="n">
        <f aca="false">(N17/(N17+1))*F51</f>
        <v>0</v>
      </c>
      <c r="I51" s="22" t="n">
        <f aca="false">H51/H53</f>
        <v>0</v>
      </c>
      <c r="J51" s="22" t="n">
        <f aca="false">(1-(N17/(N17+1)))*D51</f>
        <v>0</v>
      </c>
      <c r="K51" s="22" t="n">
        <f aca="false">J51/J53</f>
        <v>0</v>
      </c>
      <c r="Q51" s="6" t="s">
        <v>38</v>
      </c>
      <c r="R51" s="23" t="n">
        <f aca="false">($AD$5*(S49-$AH$5))+($AE$5/2)*((S49^2-$AH$5^2))+($AF$5/3)*((S49^3-$AH$5^3))+($AG$5/4)*((S49^4-$AH$5^4))</f>
        <v>3015.20257053882</v>
      </c>
      <c r="S51" s="24" t="n">
        <f aca="false">R51*46.69</f>
        <v>140779.808018457</v>
      </c>
      <c r="T51" s="23" t="n">
        <f aca="false">($AD$5*(U49-$AH$5))+($AE$5/2)*((U49^2-$AH$5^2))+($AF$5/3)*((U49^3-$AH$5^3))+($AG$5/4)*((U49^4-$AH$5^4))</f>
        <v>3015.20257053882</v>
      </c>
      <c r="U51" s="24" t="n">
        <f aca="false">T51*46.69</f>
        <v>140779.808018457</v>
      </c>
      <c r="V51" s="23" t="n">
        <f aca="false">($AD$5*(W49-$AH$5))+($AE$5/2)*((W49^2-$AH$5^2))+($AF$5/3)*((W49^3-$AH$5^3))+($AG$5/4)*((W49^4-$AH$5^4))</f>
        <v>3015.20257053882</v>
      </c>
      <c r="W51" s="24" t="n">
        <f aca="false">V51*46.69</f>
        <v>140779.808018457</v>
      </c>
      <c r="X51" s="23" t="n">
        <f aca="false">($AD$5*(Y49-$AH$5))+($AE$5/2)*((Y49^2-$AH$5^2))+($AF$5/3)*((Y49^3-$AH$5^3))+($AG$5/4)*((Y49^4-$AH$5^4))</f>
        <v>3015.20257053882</v>
      </c>
      <c r="Y51" s="24" t="n">
        <f aca="false">X51*46.69</f>
        <v>140779.808018457</v>
      </c>
      <c r="Z51" s="23" t="n">
        <f aca="false">($AD$5*(AA49-$AH$5))+($AE$5/2)*((AA49^2-$AH$5^2))+($AF$5/3)*((AA49^3-$AH$5^3))+($AG$5/4)*((AA49^4-$AH$5^4))</f>
        <v>3015.20257053882</v>
      </c>
      <c r="AA51" s="24" t="n">
        <f aca="false">Z51*46.69</f>
        <v>140779.808018457</v>
      </c>
    </row>
    <row r="52" customFormat="false" ht="13.8" hidden="false" customHeight="false" outlineLevel="0" collapsed="false">
      <c r="A52" s="9" t="s">
        <v>50</v>
      </c>
      <c r="B52" s="22" t="n">
        <f aca="false">J42</f>
        <v>14.7851666666667</v>
      </c>
      <c r="C52" s="22" t="n">
        <f aca="false">K42</f>
        <v>0.5</v>
      </c>
      <c r="D52" s="22" t="n">
        <f aca="false">B52*0</f>
        <v>0</v>
      </c>
      <c r="E52" s="22" t="n">
        <f aca="false">D52/D53</f>
        <v>0</v>
      </c>
      <c r="F52" s="22" t="n">
        <f aca="false">D52</f>
        <v>0</v>
      </c>
      <c r="G52" s="22" t="n">
        <f aca="false">E52</f>
        <v>0</v>
      </c>
      <c r="H52" s="22" t="n">
        <f aca="false">(N18/(N18+1))*F52</f>
        <v>0</v>
      </c>
      <c r="I52" s="22" t="n">
        <f aca="false">H52/H53</f>
        <v>0</v>
      </c>
      <c r="J52" s="22" t="n">
        <f aca="false">(1-(N18/(N18+1)))*D52</f>
        <v>0</v>
      </c>
      <c r="K52" s="22" t="n">
        <f aca="false">J52/J53</f>
        <v>0</v>
      </c>
      <c r="Q52" s="6" t="s">
        <v>41</v>
      </c>
      <c r="R52" s="23" t="n">
        <f aca="false">($AD$6*(S49-$AH$6))+($AE$6/2)*((S49^2-$AH$6^2))+($AF$6/3)*((S49^3-$AH$6^3))+($AG$6/4)*((S49^4-$AH$6^4))</f>
        <v>5337.1693733841</v>
      </c>
      <c r="S52" s="24" t="n">
        <f aca="false">R52*0.69</f>
        <v>3682.64686763503</v>
      </c>
      <c r="T52" s="23" t="n">
        <f aca="false">($AD$6*(U49-$AH$6))+($AE$6/2)*((U49^2-$AH$6^2))+($AF$6/3)*((U49^3-$AH$6^3))+($AG$6/4)*((U49^4-$AH$6^4))</f>
        <v>5337.1693733841</v>
      </c>
      <c r="U52" s="24" t="n">
        <f aca="false">T52*0.69</f>
        <v>3682.64686763503</v>
      </c>
      <c r="V52" s="23" t="n">
        <f aca="false">($AD$6*(W49-$AH$6))+($AE$6/2)*((W49^2-$AH$6^2))+($AF$6/3)*((W49^3-$AH$6^3))+($AG$6/4)*((W49^4-$AH$6^4))</f>
        <v>5337.1693733841</v>
      </c>
      <c r="W52" s="24" t="n">
        <f aca="false">V52*0.69</f>
        <v>3682.64686763503</v>
      </c>
      <c r="X52" s="23" t="n">
        <f aca="false">($AD$6*(Y49-$AH$6))+($AE$6/2)*((Y49^2-$AH$6^2))+($AF$6/3)*((Y49^3-$AH$6^3))+($AG$6/4)*((Y49^4-$AH$6^4))</f>
        <v>5337.1693733841</v>
      </c>
      <c r="Y52" s="24" t="n">
        <f aca="false">X52*0.69</f>
        <v>3682.64686763503</v>
      </c>
      <c r="Z52" s="23" t="n">
        <f aca="false">($AD$6*(AA49-$AH$6))+($AE$6/2)*((AA49^2-$AH$6^2))+($AF$6/3)*((AA49^3-$AH$6^3))+($AG$6/4)*((AA49^4-$AH$6^4))</f>
        <v>5337.1693733841</v>
      </c>
      <c r="AA52" s="24" t="n">
        <f aca="false">Z52*0.69</f>
        <v>3682.64686763503</v>
      </c>
    </row>
    <row r="53" customFormat="false" ht="13.8" hidden="false" customHeight="false" outlineLevel="0" collapsed="false">
      <c r="A53" s="9" t="s">
        <v>53</v>
      </c>
      <c r="B53" s="30" t="n">
        <f aca="false">SUM(B47:B52)</f>
        <v>29.5703333333333</v>
      </c>
      <c r="C53" s="30" t="n">
        <f aca="false">SUM(C47:C52)</f>
        <v>1</v>
      </c>
      <c r="D53" s="30" t="n">
        <f aca="false">SUM(D47:D52)</f>
        <v>11.8281333333333</v>
      </c>
      <c r="E53" s="30" t="n">
        <f aca="false">SUM(E47:E52)</f>
        <v>1</v>
      </c>
      <c r="F53" s="30" t="n">
        <f aca="false">SUM(F47:F52)</f>
        <v>11.8281333333333</v>
      </c>
      <c r="G53" s="30" t="n">
        <f aca="false">SUM(G47:G52)</f>
        <v>1</v>
      </c>
      <c r="H53" s="30" t="n">
        <f aca="false">SUM(H47:H52)</f>
        <v>3.94271111111111</v>
      </c>
      <c r="I53" s="30" t="n">
        <f aca="false">SUM(I47:I52)</f>
        <v>1</v>
      </c>
      <c r="J53" s="30" t="n">
        <f aca="false">SUM(J47:J52)</f>
        <v>7.88542222222223</v>
      </c>
      <c r="K53" s="30" t="n">
        <f aca="false">SUM(K47:K52)</f>
        <v>1</v>
      </c>
      <c r="Q53" s="6" t="s">
        <v>43</v>
      </c>
      <c r="R53" s="23" t="n">
        <f aca="false">($AD$7*(S49-$AH$7))+($AE$7/2)*((S49^2-$AH$7^2))+($AF$7/3)*((S49^3-$AH$7^3))+($AG$7/4)*((S49^4-$AH$7^4))</f>
        <v>6082.70439202524</v>
      </c>
      <c r="S53" s="24" t="n">
        <f aca="false">R53*20</f>
        <v>121654.087840505</v>
      </c>
      <c r="T53" s="23" t="n">
        <f aca="false">($AD$7*(U49-$AH$7))+($AE$7/2)*((U49^2-$AH$7^2))+($AF$7/3)*((U49^3-$AH$7^3))+($AG$7/4)*((U49^4-$AH$7^4))</f>
        <v>6082.70439202524</v>
      </c>
      <c r="U53" s="24" t="n">
        <f aca="false">T53*20</f>
        <v>121654.087840505</v>
      </c>
      <c r="V53" s="23" t="n">
        <f aca="false">($AD$7*(W49-$AH$7))+($AE$7/2)*((W49^2-$AH$7^2))+($AF$7/3)*((W49^3-$AH$7^3))+($AG$7/4)*((W49^4-$AH$7^4))</f>
        <v>6082.70439202524</v>
      </c>
      <c r="W53" s="24" t="n">
        <f aca="false">V53*20</f>
        <v>121654.087840505</v>
      </c>
      <c r="X53" s="23" t="n">
        <f aca="false">($AD$7*(Y49-$AH$7))+($AE$7/2)*((Y49^2-$AH$7^2))+($AF$7/3)*((Y49^3-$AH$7^3))+($AG$7/4)*((Y49^4-$AH$7^4))</f>
        <v>6082.70439202524</v>
      </c>
      <c r="Y53" s="24" t="n">
        <f aca="false">X53*20</f>
        <v>121654.087840505</v>
      </c>
      <c r="Z53" s="23" t="n">
        <f aca="false">($AD$7*(AA49-$AH$7))+($AE$7/2)*((AA49^2-$AH$7^2))+($AF$7/3)*((AA49^3-$AH$7^3))+($AG$7/4)*((AA49^4-$AH$7^4))</f>
        <v>6082.70439202524</v>
      </c>
      <c r="AA53" s="24" t="n">
        <f aca="false">Z53*20</f>
        <v>121654.087840505</v>
      </c>
    </row>
    <row r="54" customFormat="false" ht="13.8" hidden="false" customHeight="false" outlineLevel="0" collapsed="false">
      <c r="Q54" s="6" t="s">
        <v>42</v>
      </c>
      <c r="R54" s="23" t="n">
        <f aca="false">($AD$8*(S49-$AH$8))+($AE$8/2)*((S49^2-$AH$8^2))+($AF$8/3)*((S49^3-$AH$8^3))+($AG$8/4)*((S49^4-$AH$8^4))</f>
        <v>6177.03610651752</v>
      </c>
      <c r="S54" s="24" t="n">
        <f aca="false">R54*57</f>
        <v>352091.058071498</v>
      </c>
      <c r="T54" s="23" t="n">
        <f aca="false">($AD$8*(U49-$AH$8))+($AE$8/2)*((U49^2-$AH$8^2))+($AF$8/3)*((U49^3-$AH$8^3))+($AG$8/4)*((U49^4-$AH$8^4))</f>
        <v>6177.03610651752</v>
      </c>
      <c r="U54" s="24" t="n">
        <f aca="false">T54*57</f>
        <v>352091.058071498</v>
      </c>
      <c r="V54" s="23" t="n">
        <f aca="false">($AD$8*(W49-$AH$8))+($AE$8/2)*((W49^2-$AH$8^2))+($AF$8/3)*((W49^3-$AH$8^3))+($AG$8/4)*((W49^4-$AH$8^4))</f>
        <v>6177.03610651752</v>
      </c>
      <c r="W54" s="24" t="n">
        <f aca="false">V54*57</f>
        <v>352091.058071498</v>
      </c>
      <c r="X54" s="23" t="n">
        <f aca="false">($AD$8*(Y49-$AH$8))+($AE$8/2)*((Y49^2-$AH$8^2))+($AF$8/3)*((Y49^3-$AH$8^3))+($AG$8/4)*((Y49^4-$AH$8^4))</f>
        <v>6177.03610651752</v>
      </c>
      <c r="Y54" s="24" t="n">
        <f aca="false">X54*57</f>
        <v>352091.058071498</v>
      </c>
      <c r="Z54" s="23" t="n">
        <f aca="false">($AD$8*(AA49-$AH$8))+($AE$8/2)*((AA49^2-$AH$8^2))+($AF$8/3)*((AA49^3-$AH$8^3))+($AG$8/4)*((AA49^4-$AH$8^4))</f>
        <v>6177.03610651752</v>
      </c>
      <c r="AA54" s="24" t="n">
        <f aca="false">Z54*57</f>
        <v>352091.058071498</v>
      </c>
    </row>
    <row r="55" customFormat="false" ht="13.8" hidden="false" customHeight="false" outlineLevel="0" collapsed="false">
      <c r="A55" s="9" t="s">
        <v>6</v>
      </c>
      <c r="B55" s="10" t="n">
        <v>27</v>
      </c>
      <c r="C55" s="10"/>
      <c r="D55" s="10" t="n">
        <v>28</v>
      </c>
      <c r="E55" s="10"/>
      <c r="F55" s="10" t="n">
        <v>29</v>
      </c>
      <c r="G55" s="10"/>
      <c r="H55" s="10" t="n">
        <v>30</v>
      </c>
      <c r="I55" s="10"/>
      <c r="J55" s="10"/>
      <c r="K55" s="10"/>
      <c r="M55" s="34" t="s">
        <v>88</v>
      </c>
      <c r="N55" s="34"/>
      <c r="O55" s="34"/>
      <c r="Q55" s="6" t="s">
        <v>46</v>
      </c>
      <c r="R55" s="23" t="n">
        <f aca="false">($AD$9*(S49-$AH$9))+($AE$9/2)*((S49^2-$AH$9^2))+($AF$9/3)*((S49^3-$AH$9^3))+($AG$9/4)*((S49^4-$AH$9^4))</f>
        <v>9454.81425518154</v>
      </c>
      <c r="S55" s="24" t="n">
        <f aca="false">R55*22.31</f>
        <v>210936.9060331</v>
      </c>
      <c r="T55" s="23" t="n">
        <f aca="false">($AD$9*(U49-$AH$9))+($AE$9/2)*((U49^2-$AH$9^2))+($AF$9/3)*((U49^3-$AH$9^3))+($AG$9/4)*((U49^4-$AH$9^4))</f>
        <v>9454.81425518154</v>
      </c>
      <c r="U55" s="24" t="n">
        <f aca="false">T55*22.31</f>
        <v>210936.9060331</v>
      </c>
      <c r="V55" s="23" t="n">
        <f aca="false">($AD$9*(W49-$AH$9))+($AE$9/2)*((W49^2-$AH$9^2))+($AF$9/3)*((W49^3-$AH$9^3))+($AG$9/4)*((W49^4-$AH$9^4))</f>
        <v>9454.81425518154</v>
      </c>
      <c r="W55" s="24" t="n">
        <f aca="false">V55*22.31</f>
        <v>210936.9060331</v>
      </c>
      <c r="X55" s="23" t="n">
        <f aca="false">($AD$9*(Y49-$AH$9))+($AE$9/2)*((Y49^2-$AH$9^2))+($AF$9/3)*((Y49^3-$AH$9^3))+($AG$9/4)*((Y49^4-$AH$9^4))</f>
        <v>9454.81425518154</v>
      </c>
      <c r="Y55" s="24" t="n">
        <f aca="false">X55*22.31</f>
        <v>210936.9060331</v>
      </c>
      <c r="Z55" s="23" t="n">
        <f aca="false">($AD$9*(AA49-$AH$9))+($AE$9/2)*((AA49^2-$AH$9^2))+($AF$9/3)*((AA49^3-$AH$9^3))+($AG$9/4)*((AA49^4-$AH$9^4))</f>
        <v>9454.81425518154</v>
      </c>
      <c r="AA55" s="24" t="n">
        <f aca="false">Z55*22.31</f>
        <v>210936.9060331</v>
      </c>
    </row>
    <row r="56" customFormat="false" ht="13.8" hidden="false" customHeight="false" outlineLevel="0" collapsed="false">
      <c r="A56" s="9" t="s">
        <v>30</v>
      </c>
      <c r="B56" s="18" t="s">
        <v>31</v>
      </c>
      <c r="C56" s="18" t="s">
        <v>32</v>
      </c>
      <c r="D56" s="18" t="s">
        <v>31</v>
      </c>
      <c r="E56" s="18" t="s">
        <v>32</v>
      </c>
      <c r="F56" s="18" t="s">
        <v>31</v>
      </c>
      <c r="G56" s="18" t="s">
        <v>32</v>
      </c>
      <c r="H56" s="18" t="s">
        <v>31</v>
      </c>
      <c r="I56" s="18" t="s">
        <v>32</v>
      </c>
      <c r="J56" s="19"/>
      <c r="K56" s="18"/>
      <c r="M56" s="36" t="s">
        <v>80</v>
      </c>
      <c r="N56" s="37" t="s">
        <v>81</v>
      </c>
      <c r="O56" s="38" t="s">
        <v>82</v>
      </c>
      <c r="Q56" s="6" t="s">
        <v>50</v>
      </c>
      <c r="R56" s="23" t="n">
        <f aca="false">($AD$10*(S49-$AH$10))+($AE$10/2)*((S49^2-$AH$10^2))+($AF$10/3)*((S49^3-$AH$10^3))+($AG$10/4)*((S49^4-$AH$10^4))</f>
        <v>2203.77073700678</v>
      </c>
      <c r="S56" s="24"/>
      <c r="T56" s="23" t="n">
        <f aca="false">($AD$10*(U49-$AH$10))+($AE$10/2)*((U49^2-$AH$10^2))+($AF$10/3)*((U49^3-$AH$10^3))+($AG$10/4)*((U49^4-$AH$10^4))</f>
        <v>2203.77073700678</v>
      </c>
      <c r="U56" s="24"/>
      <c r="V56" s="23" t="n">
        <f aca="false">($AD$10*(W49-$AH$10))+($AE$10/2)*((W49^2-$AH$10^2))+($AF$10/3)*((W49^3-$AH$10^3))+($AG$10/4)*((W49^4-$AH$10^4))</f>
        <v>2203.77073700678</v>
      </c>
      <c r="W56" s="24"/>
      <c r="X56" s="23" t="n">
        <f aca="false">($AD$10*(Y49-$AH$10))+($AE$10/2)*((Y49^2-$AH$10^2))+($AF$10/3)*((Y49^3-$AH$10^3))+($AG$10/4)*((Y49^4-$AH$10^4))</f>
        <v>2203.77073700678</v>
      </c>
      <c r="Y56" s="24"/>
      <c r="Z56" s="23" t="n">
        <f aca="false">($AD$10*(AA49-$AH$10))+($AE$10/2)*((AA49^2-$AH$10^2))+($AF$10/3)*((AA49^3-$AH$10^3))+($AG$10/4)*((AA49^4-$AH$10^4))</f>
        <v>2203.77073700678</v>
      </c>
      <c r="AA56" s="24"/>
    </row>
    <row r="57" customFormat="false" ht="13.8" hidden="false" customHeight="false" outlineLevel="0" collapsed="false">
      <c r="A57" s="9" t="s">
        <v>38</v>
      </c>
      <c r="B57" s="22" t="n">
        <f aca="false">B47*0.2</f>
        <v>2.95703333333333</v>
      </c>
      <c r="C57" s="22" t="n">
        <f aca="false">B57/B63</f>
        <v>0.166666666666667</v>
      </c>
      <c r="D57" s="22" t="n">
        <f aca="false">E57*D63</f>
        <v>2.20791918222222</v>
      </c>
      <c r="E57" s="22" t="n">
        <v>0.8</v>
      </c>
      <c r="F57" s="22" t="n">
        <f aca="false">G57*F63</f>
        <v>0.74911515111111</v>
      </c>
      <c r="G57" s="22" t="n">
        <v>0.05</v>
      </c>
      <c r="H57" s="22" t="n">
        <f aca="false">J47</f>
        <v>7.88542222222223</v>
      </c>
      <c r="I57" s="22" t="n">
        <f aca="false">H57/H63</f>
        <v>1</v>
      </c>
      <c r="J57" s="22"/>
      <c r="K57" s="22"/>
      <c r="M57" s="39" t="n">
        <f aca="false">O57*E57+O58*G57</f>
        <v>2.95703433333333</v>
      </c>
      <c r="N57" s="40" t="n">
        <f aca="false">B57</f>
        <v>2.95703333333333</v>
      </c>
      <c r="O57" s="41" t="n">
        <v>2.75989897777778</v>
      </c>
      <c r="Q57" s="6" t="s">
        <v>53</v>
      </c>
      <c r="R57" s="31" t="n">
        <f aca="false">SUM(R51:R56)</f>
        <v>32270.697434654</v>
      </c>
      <c r="S57" s="24" t="n">
        <f aca="false">SUM(S51:S56)</f>
        <v>829144.506831196</v>
      </c>
      <c r="T57" s="31" t="n">
        <f aca="false">SUM(T51:T56)</f>
        <v>32270.697434654</v>
      </c>
      <c r="U57" s="24" t="n">
        <f aca="false">SUM(U51:U56)</f>
        <v>829144.506831196</v>
      </c>
      <c r="V57" s="31" t="n">
        <f aca="false">SUM(V51:V56)</f>
        <v>32270.697434654</v>
      </c>
      <c r="W57" s="24" t="n">
        <f aca="false">SUM(W51:W56)</f>
        <v>829144.506831196</v>
      </c>
      <c r="X57" s="31" t="n">
        <f aca="false">SUM(X51:X56)</f>
        <v>32270.697434654</v>
      </c>
      <c r="Y57" s="24" t="n">
        <f aca="false">SUM(Y51:Y56)</f>
        <v>829144.506831196</v>
      </c>
      <c r="Z57" s="31" t="n">
        <f aca="false">SUM(Z51:Z56)</f>
        <v>32270.697434654</v>
      </c>
      <c r="AA57" s="24" t="n">
        <f aca="false">SUM(AA51:AA56)</f>
        <v>829144.506831196</v>
      </c>
    </row>
    <row r="58" customFormat="false" ht="13.8" hidden="false" customHeight="false" outlineLevel="0" collapsed="false">
      <c r="A58" s="9" t="s">
        <v>41</v>
      </c>
      <c r="B58" s="22" t="n">
        <f aca="false">B48</f>
        <v>0</v>
      </c>
      <c r="C58" s="22" t="n">
        <f aca="false">B58/B63</f>
        <v>0</v>
      </c>
      <c r="D58" s="22" t="n">
        <f aca="false">E58*D63</f>
        <v>0</v>
      </c>
      <c r="E58" s="22" t="n">
        <v>0</v>
      </c>
      <c r="F58" s="22" t="n">
        <f aca="false">G58*F63</f>
        <v>0</v>
      </c>
      <c r="G58" s="22" t="n">
        <v>0</v>
      </c>
      <c r="H58" s="22" t="n">
        <f aca="false">J48</f>
        <v>0</v>
      </c>
      <c r="I58" s="22" t="n">
        <f aca="false">H58/H63</f>
        <v>0</v>
      </c>
      <c r="J58" s="22"/>
      <c r="K58" s="22"/>
      <c r="M58" s="42" t="n">
        <f aca="false">O57*E62+O58*G62</f>
        <v>14.7851676666666</v>
      </c>
      <c r="N58" s="43" t="n">
        <f aca="false">B62</f>
        <v>14.7851666666667</v>
      </c>
      <c r="O58" s="44" t="n">
        <v>14.9823030222222</v>
      </c>
    </row>
    <row r="59" customFormat="false" ht="13.8" hidden="false" customHeight="false" outlineLevel="0" collapsed="false">
      <c r="A59" s="9" t="s">
        <v>43</v>
      </c>
      <c r="B59" s="22" t="n">
        <f aca="false">B49</f>
        <v>0</v>
      </c>
      <c r="C59" s="22" t="n">
        <f aca="false">B59/B63</f>
        <v>0</v>
      </c>
      <c r="D59" s="22" t="n">
        <f aca="false">E59*D63</f>
        <v>0</v>
      </c>
      <c r="E59" s="22" t="n">
        <v>0</v>
      </c>
      <c r="F59" s="22" t="n">
        <f aca="false">G59*F63</f>
        <v>0</v>
      </c>
      <c r="G59" s="22" t="n">
        <v>0</v>
      </c>
      <c r="H59" s="22" t="n">
        <f aca="false">J49</f>
        <v>0</v>
      </c>
      <c r="I59" s="22" t="n">
        <f aca="false">H59/H63</f>
        <v>0</v>
      </c>
      <c r="J59" s="22"/>
      <c r="K59" s="22"/>
      <c r="Q59" s="6" t="s">
        <v>6</v>
      </c>
      <c r="R59" s="7" t="s">
        <v>65</v>
      </c>
      <c r="S59" s="7"/>
      <c r="T59" s="7" t="s">
        <v>66</v>
      </c>
      <c r="U59" s="7"/>
      <c r="V59" s="7" t="s">
        <v>67</v>
      </c>
      <c r="W59" s="7"/>
      <c r="X59" s="7" t="s">
        <v>68</v>
      </c>
      <c r="Y59" s="7"/>
      <c r="Z59" s="7" t="s">
        <v>69</v>
      </c>
      <c r="AA59" s="7"/>
    </row>
    <row r="60" customFormat="false" ht="13.8" hidden="false" customHeight="false" outlineLevel="0" collapsed="false">
      <c r="A60" s="9" t="s">
        <v>42</v>
      </c>
      <c r="B60" s="22" t="n">
        <f aca="false">B50</f>
        <v>0</v>
      </c>
      <c r="C60" s="22" t="n">
        <f aca="false">B60/B63</f>
        <v>0</v>
      </c>
      <c r="D60" s="22" t="n">
        <f aca="false">E60*D63</f>
        <v>0</v>
      </c>
      <c r="E60" s="22" t="n">
        <v>0</v>
      </c>
      <c r="F60" s="22" t="n">
        <f aca="false">G60*F63</f>
        <v>0</v>
      </c>
      <c r="G60" s="22" t="n">
        <v>0</v>
      </c>
      <c r="H60" s="22" t="n">
        <f aca="false">J50</f>
        <v>0</v>
      </c>
      <c r="I60" s="22" t="n">
        <f aca="false">H60/H63</f>
        <v>0</v>
      </c>
      <c r="J60" s="22"/>
      <c r="K60" s="22"/>
      <c r="Q60" s="14" t="s">
        <v>28</v>
      </c>
      <c r="R60" s="15" t="n">
        <v>1</v>
      </c>
      <c r="S60" s="15" t="n">
        <v>363</v>
      </c>
      <c r="T60" s="15" t="n">
        <v>1</v>
      </c>
      <c r="U60" s="15" t="n">
        <v>363</v>
      </c>
      <c r="V60" s="15" t="n">
        <v>1</v>
      </c>
      <c r="W60" s="15" t="n">
        <v>363</v>
      </c>
      <c r="X60" s="15" t="n">
        <v>1</v>
      </c>
      <c r="Y60" s="15" t="n">
        <v>363</v>
      </c>
      <c r="Z60" s="15" t="n">
        <v>1</v>
      </c>
      <c r="AA60" s="15" t="n">
        <v>363</v>
      </c>
    </row>
    <row r="61" customFormat="false" ht="13.8" hidden="false" customHeight="false" outlineLevel="0" collapsed="false">
      <c r="A61" s="9" t="s">
        <v>46</v>
      </c>
      <c r="B61" s="22" t="n">
        <f aca="false">B51</f>
        <v>0</v>
      </c>
      <c r="C61" s="22" t="n">
        <f aca="false">B61/B63</f>
        <v>0</v>
      </c>
      <c r="D61" s="22" t="n">
        <f aca="false">E61*D63</f>
        <v>0</v>
      </c>
      <c r="E61" s="22" t="n">
        <v>0</v>
      </c>
      <c r="F61" s="22" t="n">
        <f aca="false">G61*F63</f>
        <v>0</v>
      </c>
      <c r="G61" s="22" t="n">
        <v>0</v>
      </c>
      <c r="H61" s="22" t="n">
        <f aca="false">J51</f>
        <v>0</v>
      </c>
      <c r="I61" s="22" t="n">
        <f aca="false">H61/H63</f>
        <v>0</v>
      </c>
      <c r="J61" s="22"/>
      <c r="K61" s="22"/>
      <c r="Q61" s="6" t="s">
        <v>30</v>
      </c>
      <c r="R61" s="21" t="s">
        <v>36</v>
      </c>
      <c r="S61" s="21" t="s">
        <v>35</v>
      </c>
      <c r="T61" s="21" t="s">
        <v>36</v>
      </c>
      <c r="U61" s="21" t="s">
        <v>35</v>
      </c>
      <c r="V61" s="21" t="s">
        <v>36</v>
      </c>
      <c r="W61" s="21" t="s">
        <v>35</v>
      </c>
      <c r="X61" s="21" t="s">
        <v>36</v>
      </c>
      <c r="Y61" s="21" t="s">
        <v>35</v>
      </c>
      <c r="Z61" s="21" t="s">
        <v>36</v>
      </c>
      <c r="AA61" s="21" t="s">
        <v>35</v>
      </c>
    </row>
    <row r="62" customFormat="false" ht="13.8" hidden="false" customHeight="false" outlineLevel="0" collapsed="false">
      <c r="A62" s="9" t="s">
        <v>50</v>
      </c>
      <c r="B62" s="22" t="n">
        <f aca="false">B52</f>
        <v>14.7851666666667</v>
      </c>
      <c r="C62" s="22" t="n">
        <f aca="false">B62/B63</f>
        <v>0.833333333333333</v>
      </c>
      <c r="D62" s="22" t="n">
        <f aca="false">E62*D63</f>
        <v>0.551979795555556</v>
      </c>
      <c r="E62" s="22" t="n">
        <v>0.2</v>
      </c>
      <c r="F62" s="22" t="n">
        <f aca="false">G62*F63</f>
        <v>14.2331878711111</v>
      </c>
      <c r="G62" s="22" t="n">
        <v>0.95</v>
      </c>
      <c r="H62" s="22" t="n">
        <f aca="false">J52</f>
        <v>0</v>
      </c>
      <c r="I62" s="22" t="n">
        <f aca="false">H62/H63</f>
        <v>0</v>
      </c>
      <c r="J62" s="22"/>
      <c r="K62" s="22"/>
      <c r="Q62" s="6" t="s">
        <v>38</v>
      </c>
      <c r="R62" s="23" t="n">
        <f aca="false">($AD$5*(S60-$AH$5))+($AE$5/2)*((S60^2-$AH$5^2))+($AF$5/3)*((S60^3-$AH$5^3))+($AG$5/4)*((S60^4-$AH$5^4))</f>
        <v>3015.20257053882</v>
      </c>
      <c r="S62" s="24" t="n">
        <f aca="false">R62*46.69</f>
        <v>140779.808018457</v>
      </c>
      <c r="T62" s="23" t="n">
        <f aca="false">($AD$5*(U60-$AH$5))+($AE$5/2)*((U60^2-$AH$5^2))+($AF$5/3)*((U60^3-$AH$5^3))+($AG$5/4)*((U60^4-$AH$5^4))</f>
        <v>3015.20257053882</v>
      </c>
      <c r="U62" s="24" t="n">
        <f aca="false">T62*46.69</f>
        <v>140779.808018457</v>
      </c>
      <c r="V62" s="23" t="n">
        <f aca="false">($AD$5*(W60-$AH$5))+($AE$5/2)*((W60^2-$AH$5^2))+($AF$5/3)*((W60^3-$AH$5^3))+($AG$5/4)*((W60^4-$AH$5^4))</f>
        <v>3015.20257053882</v>
      </c>
      <c r="W62" s="24" t="n">
        <f aca="false">V62*46.69</f>
        <v>140779.808018457</v>
      </c>
      <c r="X62" s="23" t="n">
        <f aca="false">($AD$5*(Y60-$AH$5))+($AE$5/2)*((Y60^2-$AH$5^2))+($AF$5/3)*((Y60^3-$AH$5^3))+($AG$5/4)*((Y60^4-$AH$5^4))</f>
        <v>3015.20257053882</v>
      </c>
      <c r="Y62" s="24" t="n">
        <f aca="false">X62*46.69</f>
        <v>140779.808018457</v>
      </c>
      <c r="Z62" s="23" t="n">
        <f aca="false">($AD$5*(AA60-$AH$5))+($AE$5/2)*((AA60^2-$AH$5^2))+($AF$5/3)*((AA60^3-$AH$5^3))+($AG$5/4)*((AA60^4-$AH$5^4))</f>
        <v>3015.20257053882</v>
      </c>
      <c r="AA62" s="24" t="n">
        <f aca="false">Z62*46.69</f>
        <v>140779.808018457</v>
      </c>
    </row>
    <row r="63" customFormat="false" ht="13.8" hidden="false" customHeight="false" outlineLevel="0" collapsed="false">
      <c r="A63" s="9" t="s">
        <v>53</v>
      </c>
      <c r="B63" s="30" t="n">
        <f aca="false">SUM(B57:B62)</f>
        <v>17.7422</v>
      </c>
      <c r="C63" s="30" t="n">
        <f aca="false">SUM(C57:C62)</f>
        <v>1</v>
      </c>
      <c r="D63" s="30" t="n">
        <f aca="false">O57</f>
        <v>2.75989897777778</v>
      </c>
      <c r="E63" s="30" t="n">
        <f aca="false">SUM(E57:E62)</f>
        <v>1</v>
      </c>
      <c r="F63" s="30" t="n">
        <f aca="false">O58</f>
        <v>14.9823030222222</v>
      </c>
      <c r="G63" s="30" t="n">
        <f aca="false">SUM(G57:G62)</f>
        <v>1</v>
      </c>
      <c r="H63" s="30" t="n">
        <f aca="false">SUM(H57:H62)</f>
        <v>7.88542222222223</v>
      </c>
      <c r="I63" s="30" t="n">
        <f aca="false">SUM(I57:I62)</f>
        <v>1</v>
      </c>
      <c r="J63" s="30"/>
      <c r="K63" s="30"/>
      <c r="Q63" s="6" t="s">
        <v>41</v>
      </c>
      <c r="R63" s="23" t="n">
        <f aca="false">($AD$6*(S60-$AH$6))+($AE$6/2)*((S60^2-$AH$6^2))+($AF$6/3)*((S60^3-$AH$6^3))+($AG$6/4)*((S60^4-$AH$6^4))</f>
        <v>5337.1693733841</v>
      </c>
      <c r="S63" s="24" t="n">
        <f aca="false">R63*0.69</f>
        <v>3682.64686763503</v>
      </c>
      <c r="T63" s="23" t="n">
        <f aca="false">($AD$6*(U60-$AH$6))+($AE$6/2)*((U60^2-$AH$6^2))+($AF$6/3)*((U60^3-$AH$6^3))+($AG$6/4)*((U60^4-$AH$6^4))</f>
        <v>5337.1693733841</v>
      </c>
      <c r="U63" s="24" t="n">
        <f aca="false">T63*0.69</f>
        <v>3682.64686763503</v>
      </c>
      <c r="V63" s="23" t="n">
        <f aca="false">($AD$6*(W60-$AH$6))+($AE$6/2)*((W60^2-$AH$6^2))+($AF$6/3)*((W60^3-$AH$6^3))+($AG$6/4)*((W60^4-$AH$6^4))</f>
        <v>5337.1693733841</v>
      </c>
      <c r="W63" s="24" t="n">
        <f aca="false">V63*0.69</f>
        <v>3682.64686763503</v>
      </c>
      <c r="X63" s="23" t="n">
        <f aca="false">($AD$6*(Y60-$AH$6))+($AE$6/2)*((Y60^2-$AH$6^2))+($AF$6/3)*((Y60^3-$AH$6^3))+($AG$6/4)*((Y60^4-$AH$6^4))</f>
        <v>5337.1693733841</v>
      </c>
      <c r="Y63" s="24" t="n">
        <f aca="false">X63*0.69</f>
        <v>3682.64686763503</v>
      </c>
      <c r="Z63" s="23" t="n">
        <f aca="false">($AD$6*(AA60-$AH$6))+($AE$6/2)*((AA60^2-$AH$6^2))+($AF$6/3)*((AA60^3-$AH$6^3))+($AG$6/4)*((AA60^4-$AH$6^4))</f>
        <v>5337.1693733841</v>
      </c>
      <c r="AA63" s="24" t="n">
        <f aca="false">Z63*0.69</f>
        <v>3682.64686763503</v>
      </c>
    </row>
    <row r="64" customFormat="false" ht="13.8" hidden="false" customHeight="false" outlineLevel="0" collapsed="false">
      <c r="Q64" s="6" t="s">
        <v>43</v>
      </c>
      <c r="R64" s="23" t="n">
        <f aca="false">($AD$7*(S60-$AH$7))+($AE$7/2)*((S60^2-$AH$7^2))+($AF$7/3)*((S60^3-$AH$7^3))+($AG$7/4)*((S60^4-$AH$7^4))</f>
        <v>6082.70439202524</v>
      </c>
      <c r="S64" s="24" t="n">
        <f aca="false">R64*20</f>
        <v>121654.087840505</v>
      </c>
      <c r="T64" s="23" t="n">
        <f aca="false">($AD$7*(U60-$AH$7))+($AE$7/2)*((U60^2-$AH$7^2))+($AF$7/3)*((U60^3-$AH$7^3))+($AG$7/4)*((U60^4-$AH$7^4))</f>
        <v>6082.70439202524</v>
      </c>
      <c r="U64" s="24" t="n">
        <f aca="false">T64*20</f>
        <v>121654.087840505</v>
      </c>
      <c r="V64" s="23" t="n">
        <f aca="false">($AD$7*(W60-$AH$7))+($AE$7/2)*((W60^2-$AH$7^2))+($AF$7/3)*((W60^3-$AH$7^3))+($AG$7/4)*((W60^4-$AH$7^4))</f>
        <v>6082.70439202524</v>
      </c>
      <c r="W64" s="24" t="n">
        <f aca="false">V64*20</f>
        <v>121654.087840505</v>
      </c>
      <c r="X64" s="23" t="n">
        <f aca="false">($AD$7*(Y60-$AH$7))+($AE$7/2)*((Y60^2-$AH$7^2))+($AF$7/3)*((Y60^3-$AH$7^3))+($AG$7/4)*((Y60^4-$AH$7^4))</f>
        <v>6082.70439202524</v>
      </c>
      <c r="Y64" s="24" t="n">
        <f aca="false">X64*20</f>
        <v>121654.087840505</v>
      </c>
      <c r="Z64" s="23" t="n">
        <f aca="false">($AD$7*(AA60-$AH$7))+($AE$7/2)*((AA60^2-$AH$7^2))+($AF$7/3)*((AA60^3-$AH$7^3))+($AG$7/4)*((AA60^4-$AH$7^4))</f>
        <v>6082.70439202524</v>
      </c>
      <c r="AA64" s="24" t="n">
        <f aca="false">Z64*20</f>
        <v>121654.087840505</v>
      </c>
    </row>
    <row r="65" customFormat="false" ht="13.8" hidden="false" customHeight="false" outlineLevel="0" collapsed="false">
      <c r="A65" s="45" t="s">
        <v>89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Q65" s="6" t="s">
        <v>42</v>
      </c>
      <c r="R65" s="23" t="n">
        <f aca="false">($AD$8*(S60-$AH$8))+($AE$8/2)*((S60^2-$AH$8^2))+($AF$8/3)*((S60^3-$AH$8^3))+($AG$8/4)*((S60^4-$AH$8^4))</f>
        <v>6177.03610651752</v>
      </c>
      <c r="S65" s="24" t="n">
        <f aca="false">R65*57</f>
        <v>352091.058071498</v>
      </c>
      <c r="T65" s="23" t="n">
        <f aca="false">($AD$8*(U60-$AH$8))+($AE$8/2)*((U60^2-$AH$8^2))+($AF$8/3)*((U60^3-$AH$8^3))+($AG$8/4)*((U60^4-$AH$8^4))</f>
        <v>6177.03610651752</v>
      </c>
      <c r="U65" s="24" t="n">
        <f aca="false">T65*57</f>
        <v>352091.058071498</v>
      </c>
      <c r="V65" s="23" t="n">
        <f aca="false">($AD$8*(W60-$AH$8))+($AE$8/2)*((W60^2-$AH$8^2))+($AF$8/3)*((W60^3-$AH$8^3))+($AG$8/4)*((W60^4-$AH$8^4))</f>
        <v>6177.03610651752</v>
      </c>
      <c r="W65" s="24" t="n">
        <f aca="false">V65*57</f>
        <v>352091.058071498</v>
      </c>
      <c r="X65" s="23" t="n">
        <f aca="false">($AD$8*(Y60-$AH$8))+($AE$8/2)*((Y60^2-$AH$8^2))+($AF$8/3)*((Y60^3-$AH$8^3))+($AG$8/4)*((Y60^4-$AH$8^4))</f>
        <v>6177.03610651752</v>
      </c>
      <c r="Y65" s="24" t="n">
        <f aca="false">X65*57</f>
        <v>352091.058071498</v>
      </c>
      <c r="Z65" s="23" t="n">
        <f aca="false">($AD$8*(AA60-$AH$8))+($AE$8/2)*((AA60^2-$AH$8^2))+($AF$8/3)*((AA60^3-$AH$8^3))+($AG$8/4)*((AA60^4-$AH$8^4))</f>
        <v>6177.03610651752</v>
      </c>
      <c r="AA65" s="24" t="n">
        <f aca="false">Z65*57</f>
        <v>352091.058071498</v>
      </c>
    </row>
    <row r="66" customFormat="false" ht="13.8" hidden="false" customHeight="false" outlineLevel="0" collapsed="false">
      <c r="Q66" s="6" t="s">
        <v>46</v>
      </c>
      <c r="R66" s="23" t="n">
        <f aca="false">($AD$9*(S60-$AH$9))+($AE$9/2)*((S60^2-$AH$9^2))+($AF$9/3)*((S60^3-$AH$9^3))+($AG$9/4)*((S60^4-$AH$9^4))</f>
        <v>9454.81425518154</v>
      </c>
      <c r="S66" s="24" t="n">
        <f aca="false">R66*22.31</f>
        <v>210936.9060331</v>
      </c>
      <c r="T66" s="23" t="n">
        <f aca="false">($AD$9*(U60-$AH$9))+($AE$9/2)*((U60^2-$AH$9^2))+($AF$9/3)*((U60^3-$AH$9^3))+($AG$9/4)*((U60^4-$AH$9^4))</f>
        <v>9454.81425518154</v>
      </c>
      <c r="U66" s="24" t="n">
        <f aca="false">T66*22.31</f>
        <v>210936.9060331</v>
      </c>
      <c r="V66" s="23" t="n">
        <f aca="false">($AD$9*(W60-$AH$9))+($AE$9/2)*((W60^2-$AH$9^2))+($AF$9/3)*((W60^3-$AH$9^3))+($AG$9/4)*((W60^4-$AH$9^4))</f>
        <v>9454.81425518154</v>
      </c>
      <c r="W66" s="24" t="n">
        <f aca="false">V66*22.31</f>
        <v>210936.9060331</v>
      </c>
      <c r="X66" s="23" t="n">
        <f aca="false">($AD$9*(Y60-$AH$9))+($AE$9/2)*((Y60^2-$AH$9^2))+($AF$9/3)*((Y60^3-$AH$9^3))+($AG$9/4)*((Y60^4-$AH$9^4))</f>
        <v>9454.81425518154</v>
      </c>
      <c r="Y66" s="24" t="n">
        <f aca="false">X66*22.31</f>
        <v>210936.9060331</v>
      </c>
      <c r="Z66" s="23" t="n">
        <f aca="false">($AD$9*(AA60-$AH$9))+($AE$9/2)*((AA60^2-$AH$9^2))+($AF$9/3)*((AA60^3-$AH$9^3))+($AG$9/4)*((AA60^4-$AH$9^4))</f>
        <v>9454.81425518154</v>
      </c>
      <c r="AA66" s="24" t="n">
        <f aca="false">Z66*22.31</f>
        <v>210936.9060331</v>
      </c>
    </row>
    <row r="67" customFormat="false" ht="13.8" hidden="false" customHeight="false" outlineLevel="0" collapsed="false">
      <c r="A67" s="46" t="s">
        <v>90</v>
      </c>
      <c r="B67" s="46"/>
      <c r="C67" s="46"/>
      <c r="D67" s="40"/>
      <c r="E67" s="46" t="s">
        <v>91</v>
      </c>
      <c r="F67" s="46"/>
      <c r="G67" s="46"/>
      <c r="H67" s="47"/>
      <c r="I67" s="46" t="s">
        <v>91</v>
      </c>
      <c r="J67" s="46"/>
      <c r="K67" s="46"/>
      <c r="Q67" s="6" t="s">
        <v>50</v>
      </c>
      <c r="R67" s="23" t="n">
        <f aca="false">($AD$10*(S60-$AH$10))+($AE$10/2)*((S60^2-$AH$10^2))+($AF$10/3)*((S60^3-$AH$10^3))+($AG$10/4)*((S60^4-$AH$10^4))</f>
        <v>2203.77073700678</v>
      </c>
      <c r="S67" s="24"/>
      <c r="T67" s="23" t="n">
        <f aca="false">($AD$10*(U60-$AH$10))+($AE$10/2)*((U60^2-$AH$10^2))+($AF$10/3)*((U60^3-$AH$10^3))+($AG$10/4)*((U60^4-$AH$10^4))</f>
        <v>2203.77073700678</v>
      </c>
      <c r="U67" s="24"/>
      <c r="V67" s="23" t="n">
        <f aca="false">($AD$10*(W60-$AH$10))+($AE$10/2)*((W60^2-$AH$10^2))+($AF$10/3)*((W60^3-$AH$10^3))+($AG$10/4)*((W60^4-$AH$10^4))</f>
        <v>2203.77073700678</v>
      </c>
      <c r="W67" s="24"/>
      <c r="X67" s="23" t="n">
        <f aca="false">($AD$10*(Y60-$AH$10))+($AE$10/2)*((Y60^2-$AH$10^2))+($AF$10/3)*((Y60^3-$AH$10^3))+($AG$10/4)*((Y60^4-$AH$10^4))</f>
        <v>2203.77073700678</v>
      </c>
      <c r="Y67" s="24"/>
      <c r="Z67" s="23" t="n">
        <f aca="false">($AD$10*(AA60-$AH$10))+($AE$10/2)*((AA60^2-$AH$10^2))+($AF$10/3)*((AA60^3-$AH$10^3))+($AG$10/4)*((AA60^4-$AH$10^4))</f>
        <v>2203.77073700678</v>
      </c>
      <c r="AA67" s="24"/>
    </row>
    <row r="68" customFormat="false" ht="13.8" hidden="false" customHeight="false" outlineLevel="0" collapsed="false">
      <c r="A68" s="48" t="s">
        <v>92</v>
      </c>
      <c r="B68" s="48"/>
      <c r="C68" s="48"/>
      <c r="D68" s="40"/>
      <c r="E68" s="48" t="s">
        <v>93</v>
      </c>
      <c r="F68" s="48"/>
      <c r="G68" s="48"/>
      <c r="H68" s="47"/>
      <c r="I68" s="48" t="s">
        <v>94</v>
      </c>
      <c r="J68" s="48"/>
      <c r="K68" s="48"/>
      <c r="Q68" s="6" t="s">
        <v>53</v>
      </c>
      <c r="R68" s="31" t="n">
        <f aca="false">SUM(R62:R67)</f>
        <v>32270.697434654</v>
      </c>
      <c r="S68" s="24" t="n">
        <f aca="false">SUM(S62:S67)</f>
        <v>829144.506831196</v>
      </c>
      <c r="T68" s="31" t="n">
        <f aca="false">SUM(T62:T67)</f>
        <v>32270.697434654</v>
      </c>
      <c r="U68" s="24" t="n">
        <f aca="false">SUM(U62:U67)</f>
        <v>829144.506831196</v>
      </c>
      <c r="V68" s="31" t="n">
        <f aca="false">SUM(V62:V67)</f>
        <v>32270.697434654</v>
      </c>
      <c r="W68" s="24" t="n">
        <f aca="false">SUM(W62:W67)</f>
        <v>829144.506831196</v>
      </c>
      <c r="X68" s="31" t="n">
        <f aca="false">SUM(X62:X67)</f>
        <v>32270.697434654</v>
      </c>
      <c r="Y68" s="24" t="n">
        <f aca="false">SUM(Y62:Y67)</f>
        <v>829144.506831196</v>
      </c>
      <c r="Z68" s="31" t="n">
        <f aca="false">SUM(Z62:Z67)</f>
        <v>32270.697434654</v>
      </c>
      <c r="AA68" s="24" t="n">
        <f aca="false">SUM(AA62:AA67)</f>
        <v>829144.506831196</v>
      </c>
    </row>
    <row r="69" customFormat="false" ht="15" hidden="false" customHeight="false" outlineLevel="0" collapsed="false">
      <c r="A69" s="40"/>
      <c r="B69" s="40" t="s">
        <v>95</v>
      </c>
      <c r="C69" s="40" t="s">
        <v>96</v>
      </c>
      <c r="D69" s="40"/>
      <c r="E69" s="40"/>
      <c r="F69" s="40" t="s">
        <v>95</v>
      </c>
      <c r="G69" s="40" t="s">
        <v>96</v>
      </c>
      <c r="H69" s="47"/>
      <c r="I69" s="40"/>
      <c r="J69" s="40" t="s">
        <v>95</v>
      </c>
      <c r="K69" s="40" t="s">
        <v>96</v>
      </c>
    </row>
    <row r="70" customFormat="false" ht="13.8" hidden="false" customHeight="false" outlineLevel="0" collapsed="false">
      <c r="A70" s="40" t="s">
        <v>38</v>
      </c>
      <c r="B70" s="40" t="n">
        <f aca="false">B7</f>
        <v>69</v>
      </c>
      <c r="C70" s="40" t="n">
        <f aca="false">B70*B97</f>
        <v>2210.76</v>
      </c>
      <c r="D70" s="40"/>
      <c r="E70" s="40" t="s">
        <v>38</v>
      </c>
      <c r="F70" s="40" t="n">
        <f aca="false">D37</f>
        <v>1.1709875</v>
      </c>
      <c r="G70" s="40" t="n">
        <f aca="false">F70*B97</f>
        <v>37.5184395</v>
      </c>
      <c r="H70" s="47"/>
      <c r="I70" s="40" t="s">
        <v>38</v>
      </c>
      <c r="J70" s="40" t="n">
        <f aca="false">F27</f>
        <v>29.5703333333333</v>
      </c>
      <c r="K70" s="40" t="n">
        <f aca="false">J70*B97</f>
        <v>947.43348</v>
      </c>
      <c r="Q70" s="6" t="s">
        <v>6</v>
      </c>
      <c r="R70" s="7" t="s">
        <v>65</v>
      </c>
      <c r="S70" s="7"/>
      <c r="T70" s="7" t="s">
        <v>66</v>
      </c>
      <c r="U70" s="7"/>
      <c r="V70" s="7" t="s">
        <v>67</v>
      </c>
      <c r="W70" s="7"/>
      <c r="X70" s="7" t="s">
        <v>68</v>
      </c>
      <c r="Y70" s="7"/>
      <c r="Z70" s="7" t="s">
        <v>69</v>
      </c>
      <c r="AA70" s="7"/>
    </row>
    <row r="71" customFormat="false" ht="13.8" hidden="false" customHeight="false" outlineLevel="0" collapsed="false">
      <c r="A71" s="40" t="s">
        <v>41</v>
      </c>
      <c r="B71" s="40" t="n">
        <f aca="false">B8</f>
        <v>0</v>
      </c>
      <c r="C71" s="40" t="n">
        <f aca="false">B71*B98</f>
        <v>0</v>
      </c>
      <c r="D71" s="40"/>
      <c r="E71" s="40" t="s">
        <v>41</v>
      </c>
      <c r="F71" s="40" t="n">
        <f aca="false">D38</f>
        <v>0</v>
      </c>
      <c r="G71" s="40" t="n">
        <f aca="false">F71*B98</f>
        <v>0</v>
      </c>
      <c r="H71" s="47"/>
      <c r="I71" s="40" t="s">
        <v>41</v>
      </c>
      <c r="J71" s="40" t="n">
        <f aca="false">F28</f>
        <v>0.460000000000001</v>
      </c>
      <c r="K71" s="40" t="n">
        <f aca="false">J71*B98</f>
        <v>25.8106</v>
      </c>
      <c r="Q71" s="14" t="s">
        <v>28</v>
      </c>
      <c r="R71" s="15" t="n">
        <v>1</v>
      </c>
      <c r="S71" s="15" t="n">
        <v>363</v>
      </c>
      <c r="T71" s="15" t="n">
        <v>1</v>
      </c>
      <c r="U71" s="15" t="n">
        <v>363</v>
      </c>
      <c r="V71" s="15" t="n">
        <v>1</v>
      </c>
      <c r="W71" s="15" t="n">
        <v>363</v>
      </c>
      <c r="X71" s="15" t="n">
        <v>1</v>
      </c>
      <c r="Y71" s="15" t="n">
        <v>363</v>
      </c>
      <c r="Z71" s="15" t="n">
        <v>1</v>
      </c>
      <c r="AA71" s="15" t="n">
        <v>363</v>
      </c>
    </row>
    <row r="72" customFormat="false" ht="13.8" hidden="false" customHeight="false" outlineLevel="0" collapsed="false">
      <c r="A72" s="40" t="s">
        <v>40</v>
      </c>
      <c r="B72" s="40" t="n">
        <f aca="false">B9</f>
        <v>0</v>
      </c>
      <c r="C72" s="40" t="n">
        <f aca="false">B72*B99</f>
        <v>0</v>
      </c>
      <c r="D72" s="40"/>
      <c r="E72" s="40" t="s">
        <v>40</v>
      </c>
      <c r="F72" s="40" t="n">
        <f aca="false">D39</f>
        <v>0</v>
      </c>
      <c r="G72" s="40" t="n">
        <f aca="false">F72*B99</f>
        <v>0</v>
      </c>
      <c r="H72" s="47"/>
      <c r="I72" s="40" t="s">
        <v>40</v>
      </c>
      <c r="J72" s="40" t="n">
        <f aca="false">F29</f>
        <v>13.3333333333333</v>
      </c>
      <c r="K72" s="40" t="n">
        <f aca="false">J72*B99</f>
        <v>748.133333333333</v>
      </c>
      <c r="Q72" s="6" t="s">
        <v>30</v>
      </c>
      <c r="R72" s="21" t="s">
        <v>36</v>
      </c>
      <c r="S72" s="21" t="s">
        <v>35</v>
      </c>
      <c r="T72" s="21" t="s">
        <v>36</v>
      </c>
      <c r="U72" s="21" t="s">
        <v>35</v>
      </c>
      <c r="V72" s="21" t="s">
        <v>36</v>
      </c>
      <c r="W72" s="21" t="s">
        <v>35</v>
      </c>
      <c r="X72" s="21" t="s">
        <v>36</v>
      </c>
      <c r="Y72" s="21" t="s">
        <v>35</v>
      </c>
      <c r="Z72" s="21" t="s">
        <v>36</v>
      </c>
      <c r="AA72" s="21" t="s">
        <v>35</v>
      </c>
    </row>
    <row r="73" customFormat="false" ht="13.8" hidden="false" customHeight="false" outlineLevel="0" collapsed="false">
      <c r="A73" s="40" t="s">
        <v>42</v>
      </c>
      <c r="B73" s="40" t="n">
        <f aca="false">B10</f>
        <v>0</v>
      </c>
      <c r="C73" s="40" t="n">
        <f aca="false">B73*B100</f>
        <v>0</v>
      </c>
      <c r="D73" s="40"/>
      <c r="E73" s="40" t="s">
        <v>42</v>
      </c>
      <c r="F73" s="40" t="n">
        <f aca="false">D40</f>
        <v>0</v>
      </c>
      <c r="G73" s="40" t="n">
        <f aca="false">F73*B100</f>
        <v>0</v>
      </c>
      <c r="H73" s="47"/>
      <c r="I73" s="40" t="s">
        <v>42</v>
      </c>
      <c r="J73" s="40" t="n">
        <f aca="false">F30</f>
        <v>38</v>
      </c>
      <c r="K73" s="40" t="n">
        <f aca="false">J73*B100</f>
        <v>2132.18</v>
      </c>
      <c r="Q73" s="6" t="s">
        <v>38</v>
      </c>
      <c r="R73" s="23" t="n">
        <f aca="false">($AD$5*(S71-$AH$5))+($AE$5/2)*((S71^2-$AH$5^2))+($AF$5/3)*((S71^3-$AH$5^3))+($AG$5/4)*((S71^4-$AH$5^4))</f>
        <v>3015.20257053882</v>
      </c>
      <c r="S73" s="24" t="n">
        <f aca="false">R73*46.69</f>
        <v>140779.808018457</v>
      </c>
      <c r="T73" s="23" t="n">
        <f aca="false">($AD$5*(U71-$AH$5))+($AE$5/2)*((U71^2-$AH$5^2))+($AF$5/3)*((U71^3-$AH$5^3))+($AG$5/4)*((U71^4-$AH$5^4))</f>
        <v>3015.20257053882</v>
      </c>
      <c r="U73" s="24" t="n">
        <f aca="false">T73*46.69</f>
        <v>140779.808018457</v>
      </c>
      <c r="V73" s="23" t="n">
        <f aca="false">($AD$5*(W71-$AH$5))+($AE$5/2)*((W71^2-$AH$5^2))+($AF$5/3)*((W71^3-$AH$5^3))+($AG$5/4)*((W71^4-$AH$5^4))</f>
        <v>3015.20257053882</v>
      </c>
      <c r="W73" s="24" t="n">
        <f aca="false">V73*46.69</f>
        <v>140779.808018457</v>
      </c>
      <c r="X73" s="23" t="n">
        <f aca="false">($AD$5*(Y71-$AH$5))+($AE$5/2)*((Y71^2-$AH$5^2))+($AF$5/3)*((Y71^3-$AH$5^3))+($AG$5/4)*((Y71^4-$AH$5^4))</f>
        <v>3015.20257053882</v>
      </c>
      <c r="Y73" s="24" t="n">
        <f aca="false">X73*46.69</f>
        <v>140779.808018457</v>
      </c>
      <c r="Z73" s="23" t="n">
        <f aca="false">($AD$5*(AA71-$AH$5))+($AE$5/2)*((AA71^2-$AH$5^2))+($AF$5/3)*((AA71^3-$AH$5^3))+($AG$5/4)*((AA71^4-$AH$5^4))</f>
        <v>3015.20257053882</v>
      </c>
      <c r="AA73" s="24" t="n">
        <f aca="false">Z73*46.69</f>
        <v>140779.808018457</v>
      </c>
    </row>
    <row r="74" customFormat="false" ht="13.8" hidden="false" customHeight="false" outlineLevel="0" collapsed="false">
      <c r="A74" s="40" t="s">
        <v>46</v>
      </c>
      <c r="B74" s="40" t="n">
        <f aca="false">B11</f>
        <v>0</v>
      </c>
      <c r="C74" s="40" t="n">
        <f aca="false">B74*B101</f>
        <v>0</v>
      </c>
      <c r="D74" s="40"/>
      <c r="E74" s="40" t="s">
        <v>46</v>
      </c>
      <c r="F74" s="40" t="n">
        <f aca="false">D41</f>
        <v>22.2487625</v>
      </c>
      <c r="G74" s="40" t="n">
        <f aca="false">F74*B101</f>
        <v>1961.228414375</v>
      </c>
      <c r="H74" s="47"/>
      <c r="I74" s="40" t="s">
        <v>46</v>
      </c>
      <c r="J74" s="40" t="n">
        <f aca="false">F31</f>
        <v>0</v>
      </c>
      <c r="K74" s="40" t="n">
        <f aca="false">J74*B101</f>
        <v>0</v>
      </c>
      <c r="Q74" s="6" t="s">
        <v>41</v>
      </c>
      <c r="R74" s="23" t="n">
        <f aca="false">($AD$6*(S71-$AH$6))+($AE$6/2)*((S71^2-$AH$6^2))+($AF$6/3)*((S71^3-$AH$6^3))+($AG$6/4)*((S71^4-$AH$6^4))</f>
        <v>5337.1693733841</v>
      </c>
      <c r="S74" s="24" t="n">
        <f aca="false">R74*0.69</f>
        <v>3682.64686763503</v>
      </c>
      <c r="T74" s="23" t="n">
        <f aca="false">($AD$6*(U71-$AH$6))+($AE$6/2)*((U71^2-$AH$6^2))+($AF$6/3)*((U71^3-$AH$6^3))+($AG$6/4)*((U71^4-$AH$6^4))</f>
        <v>5337.1693733841</v>
      </c>
      <c r="U74" s="24" t="n">
        <f aca="false">T74*0.69</f>
        <v>3682.64686763503</v>
      </c>
      <c r="V74" s="23" t="n">
        <f aca="false">($AD$6*(W71-$AH$6))+($AE$6/2)*((W71^2-$AH$6^2))+($AF$6/3)*((W71^3-$AH$6^3))+($AG$6/4)*((W71^4-$AH$6^4))</f>
        <v>5337.1693733841</v>
      </c>
      <c r="W74" s="24" t="n">
        <f aca="false">V74*0.69</f>
        <v>3682.64686763503</v>
      </c>
      <c r="X74" s="23" t="n">
        <f aca="false">($AD$6*(Y71-$AH$6))+($AE$6/2)*((Y71^2-$AH$6^2))+($AF$6/3)*((Y71^3-$AH$6^3))+($AG$6/4)*((Y71^4-$AH$6^4))</f>
        <v>5337.1693733841</v>
      </c>
      <c r="Y74" s="24" t="n">
        <f aca="false">X74*0.69</f>
        <v>3682.64686763503</v>
      </c>
      <c r="Z74" s="23" t="n">
        <f aca="false">($AD$6*(AA71-$AH$6))+($AE$6/2)*((AA71^2-$AH$6^2))+($AF$6/3)*((AA71^3-$AH$6^3))+($AG$6/4)*((AA71^4-$AH$6^4))</f>
        <v>5337.1693733841</v>
      </c>
      <c r="AA74" s="24" t="n">
        <f aca="false">Z74*0.69</f>
        <v>3682.64686763503</v>
      </c>
    </row>
    <row r="75" customFormat="false" ht="13.8" hidden="false" customHeight="false" outlineLevel="0" collapsed="false">
      <c r="A75" s="40" t="s">
        <v>50</v>
      </c>
      <c r="B75" s="40" t="n">
        <f aca="false">B12</f>
        <v>0</v>
      </c>
      <c r="C75" s="40" t="n">
        <f aca="false">B75*B102</f>
        <v>0</v>
      </c>
      <c r="D75" s="40"/>
      <c r="E75" s="40" t="s">
        <v>50</v>
      </c>
      <c r="F75" s="40" t="n">
        <f aca="false">D42</f>
        <v>0</v>
      </c>
      <c r="G75" s="40" t="n">
        <f aca="false">F75*B102</f>
        <v>0</v>
      </c>
      <c r="H75" s="47"/>
      <c r="I75" s="40" t="s">
        <v>50</v>
      </c>
      <c r="J75" s="40" t="n">
        <f aca="false">F32</f>
        <v>0</v>
      </c>
      <c r="K75" s="40" t="n">
        <f aca="false">J75*B102</f>
        <v>0</v>
      </c>
      <c r="Q75" s="6" t="s">
        <v>43</v>
      </c>
      <c r="R75" s="23" t="n">
        <f aca="false">($AD$7*(S71-$AH$7))+($AE$7/2)*((S71^2-$AH$7^2))+($AF$7/3)*((S71^3-$AH$7^3))+($AG$7/4)*((S71^4-$AH$7^4))</f>
        <v>6082.70439202524</v>
      </c>
      <c r="S75" s="24" t="n">
        <f aca="false">R75*20</f>
        <v>121654.087840505</v>
      </c>
      <c r="T75" s="23" t="n">
        <f aca="false">($AD$7*(U71-$AH$7))+($AE$7/2)*((U71^2-$AH$7^2))+($AF$7/3)*((U71^3-$AH$7^3))+($AG$7/4)*((U71^4-$AH$7^4))</f>
        <v>6082.70439202524</v>
      </c>
      <c r="U75" s="24" t="n">
        <f aca="false">T75*20</f>
        <v>121654.087840505</v>
      </c>
      <c r="V75" s="23" t="n">
        <f aca="false">($AD$7*(W71-$AH$7))+($AE$7/2)*((W71^2-$AH$7^2))+($AF$7/3)*((W71^3-$AH$7^3))+($AG$7/4)*((W71^4-$AH$7^4))</f>
        <v>6082.70439202524</v>
      </c>
      <c r="W75" s="24" t="n">
        <f aca="false">V75*20</f>
        <v>121654.087840505</v>
      </c>
      <c r="X75" s="23" t="n">
        <f aca="false">($AD$7*(Y71-$AH$7))+($AE$7/2)*((Y71^2-$AH$7^2))+($AF$7/3)*((Y71^3-$AH$7^3))+($AG$7/4)*((Y71^4-$AH$7^4))</f>
        <v>6082.70439202524</v>
      </c>
      <c r="Y75" s="24" t="n">
        <f aca="false">X75*20</f>
        <v>121654.087840505</v>
      </c>
      <c r="Z75" s="23" t="n">
        <f aca="false">($AD$7*(AA71-$AH$7))+($AE$7/2)*((AA71^2-$AH$7^2))+($AF$7/3)*((AA71^3-$AH$7^3))+($AG$7/4)*((AA71^4-$AH$7^4))</f>
        <v>6082.70439202524</v>
      </c>
      <c r="AA75" s="24" t="n">
        <f aca="false">Z75*20</f>
        <v>121654.087840505</v>
      </c>
    </row>
    <row r="76" customFormat="false" ht="13.8" hidden="false" customHeight="false" outlineLevel="0" collapsed="false">
      <c r="A76" s="40"/>
      <c r="B76" s="40"/>
      <c r="C76" s="40"/>
      <c r="D76" s="40"/>
      <c r="E76" s="40"/>
      <c r="F76" s="40"/>
      <c r="G76" s="40"/>
      <c r="H76" s="47"/>
      <c r="I76" s="40"/>
      <c r="J76" s="40"/>
      <c r="K76" s="40"/>
      <c r="Q76" s="6" t="s">
        <v>42</v>
      </c>
      <c r="R76" s="23" t="n">
        <f aca="false">($AD$8*(S71-$AH$8))+($AE$8/2)*((S71^2-$AH$8^2))+($AF$8/3)*((S71^3-$AH$8^3))+($AG$8/4)*((S71^4-$AH$8^4))</f>
        <v>6177.03610651752</v>
      </c>
      <c r="S76" s="24" t="n">
        <f aca="false">R76*57</f>
        <v>352091.058071498</v>
      </c>
      <c r="T76" s="23" t="n">
        <f aca="false">($AD$8*(U71-$AH$8))+($AE$8/2)*((U71^2-$AH$8^2))+($AF$8/3)*((U71^3-$AH$8^3))+($AG$8/4)*((U71^4-$AH$8^4))</f>
        <v>6177.03610651752</v>
      </c>
      <c r="U76" s="24" t="n">
        <f aca="false">T76*57</f>
        <v>352091.058071498</v>
      </c>
      <c r="V76" s="23" t="n">
        <f aca="false">($AD$8*(W71-$AH$8))+($AE$8/2)*((W71^2-$AH$8^2))+($AF$8/3)*((W71^3-$AH$8^3))+($AG$8/4)*((W71^4-$AH$8^4))</f>
        <v>6177.03610651752</v>
      </c>
      <c r="W76" s="24" t="n">
        <f aca="false">V76*57</f>
        <v>352091.058071498</v>
      </c>
      <c r="X76" s="23" t="n">
        <f aca="false">($AD$8*(Y71-$AH$8))+($AE$8/2)*((Y71^2-$AH$8^2))+($AF$8/3)*((Y71^3-$AH$8^3))+($AG$8/4)*((Y71^4-$AH$8^4))</f>
        <v>6177.03610651752</v>
      </c>
      <c r="Y76" s="24" t="n">
        <f aca="false">X76*57</f>
        <v>352091.058071498</v>
      </c>
      <c r="Z76" s="23" t="n">
        <f aca="false">($AD$8*(AA71-$AH$8))+($AE$8/2)*((AA71^2-$AH$8^2))+($AF$8/3)*((AA71^3-$AH$8^3))+($AG$8/4)*((AA71^4-$AH$8^4))</f>
        <v>6177.03610651752</v>
      </c>
      <c r="AA76" s="24" t="n">
        <f aca="false">Z76*57</f>
        <v>352091.058071498</v>
      </c>
    </row>
    <row r="77" customFormat="false" ht="13.8" hidden="false" customHeight="false" outlineLevel="0" collapsed="false">
      <c r="A77" s="48" t="s">
        <v>97</v>
      </c>
      <c r="B77" s="48"/>
      <c r="C77" s="48"/>
      <c r="D77" s="40"/>
      <c r="E77" s="48" t="s">
        <v>98</v>
      </c>
      <c r="F77" s="48"/>
      <c r="G77" s="48"/>
      <c r="H77" s="47"/>
      <c r="I77" s="48" t="s">
        <v>99</v>
      </c>
      <c r="J77" s="48"/>
      <c r="K77" s="48"/>
      <c r="Q77" s="6" t="s">
        <v>46</v>
      </c>
      <c r="R77" s="23" t="n">
        <f aca="false">($AD$9*(S71-$AH$9))+($AE$9/2)*((S71^2-$AH$9^2))+($AF$9/3)*((S71^3-$AH$9^3))+($AG$9/4)*((S71^4-$AH$9^4))</f>
        <v>9454.81425518154</v>
      </c>
      <c r="S77" s="24" t="n">
        <f aca="false">R77*22.31</f>
        <v>210936.9060331</v>
      </c>
      <c r="T77" s="23" t="n">
        <f aca="false">($AD$9*(U71-$AH$9))+($AE$9/2)*((U71^2-$AH$9^2))+($AF$9/3)*((U71^3-$AH$9^3))+($AG$9/4)*((U71^4-$AH$9^4))</f>
        <v>9454.81425518154</v>
      </c>
      <c r="U77" s="24" t="n">
        <f aca="false">T77*22.31</f>
        <v>210936.9060331</v>
      </c>
      <c r="V77" s="23" t="n">
        <f aca="false">($AD$9*(W71-$AH$9))+($AE$9/2)*((W71^2-$AH$9^2))+($AF$9/3)*((W71^3-$AH$9^3))+($AG$9/4)*((W71^4-$AH$9^4))</f>
        <v>9454.81425518154</v>
      </c>
      <c r="W77" s="24" t="n">
        <f aca="false">V77*22.31</f>
        <v>210936.9060331</v>
      </c>
      <c r="X77" s="23" t="n">
        <f aca="false">($AD$9*(Y71-$AH$9))+($AE$9/2)*((Y71^2-$AH$9^2))+($AF$9/3)*((Y71^3-$AH$9^3))+($AG$9/4)*((Y71^4-$AH$9^4))</f>
        <v>9454.81425518154</v>
      </c>
      <c r="Y77" s="24" t="n">
        <f aca="false">X77*22.31</f>
        <v>210936.9060331</v>
      </c>
      <c r="Z77" s="23" t="n">
        <f aca="false">($AD$9*(AA71-$AH$9))+($AE$9/2)*((AA71^2-$AH$9^2))+($AF$9/3)*((AA71^3-$AH$9^3))+($AG$9/4)*((AA71^4-$AH$9^4))</f>
        <v>9454.81425518154</v>
      </c>
      <c r="AA77" s="24" t="n">
        <f aca="false">Z77*22.31</f>
        <v>210936.9060331</v>
      </c>
    </row>
    <row r="78" customFormat="false" ht="13.8" hidden="false" customHeight="false" outlineLevel="0" collapsed="false">
      <c r="A78" s="40"/>
      <c r="B78" s="40" t="s">
        <v>95</v>
      </c>
      <c r="C78" s="40" t="s">
        <v>96</v>
      </c>
      <c r="D78" s="40"/>
      <c r="E78" s="40"/>
      <c r="F78" s="40" t="s">
        <v>95</v>
      </c>
      <c r="G78" s="40" t="s">
        <v>96</v>
      </c>
      <c r="H78" s="47"/>
      <c r="I78" s="40"/>
      <c r="J78" s="40" t="s">
        <v>95</v>
      </c>
      <c r="K78" s="40" t="s">
        <v>96</v>
      </c>
      <c r="Q78" s="6" t="s">
        <v>50</v>
      </c>
      <c r="R78" s="23" t="n">
        <f aca="false">($AD$10*(S71-$AH$10))+($AE$10/2)*((S71^2-$AH$10^2))+($AF$10/3)*((S71^3-$AH$10^3))+($AG$10/4)*((S71^4-$AH$10^4))</f>
        <v>2203.77073700678</v>
      </c>
      <c r="S78" s="24"/>
      <c r="T78" s="23" t="n">
        <f aca="false">($AD$10*(U71-$AH$10))+($AE$10/2)*((U71^2-$AH$10^2))+($AF$10/3)*((U71^3-$AH$10^3))+($AG$10/4)*((U71^4-$AH$10^4))</f>
        <v>2203.77073700678</v>
      </c>
      <c r="U78" s="24"/>
      <c r="V78" s="23" t="n">
        <f aca="false">($AD$10*(W71-$AH$10))+($AE$10/2)*((W71^2-$AH$10^2))+($AF$10/3)*((W71^3-$AH$10^3))+($AG$10/4)*((W71^4-$AH$10^4))</f>
        <v>2203.77073700678</v>
      </c>
      <c r="W78" s="24"/>
      <c r="X78" s="23" t="n">
        <f aca="false">($AD$10*(Y71-$AH$10))+($AE$10/2)*((Y71^2-$AH$10^2))+($AF$10/3)*((Y71^3-$AH$10^3))+($AG$10/4)*((Y71^4-$AH$10^4))</f>
        <v>2203.77073700678</v>
      </c>
      <c r="Y78" s="24"/>
      <c r="Z78" s="23" t="n">
        <f aca="false">($AD$10*(AA71-$AH$10))+($AE$10/2)*((AA71^2-$AH$10^2))+($AF$10/3)*((AA71^3-$AH$10^3))+($AG$10/4)*((AA71^4-$AH$10^4))</f>
        <v>2203.77073700678</v>
      </c>
      <c r="AA78" s="24"/>
    </row>
    <row r="79" customFormat="false" ht="13.8" hidden="false" customHeight="false" outlineLevel="0" collapsed="false">
      <c r="A79" s="40" t="s">
        <v>38</v>
      </c>
      <c r="B79" s="40" t="n">
        <f aca="false">D7</f>
        <v>0</v>
      </c>
      <c r="C79" s="40" t="n">
        <f aca="false">B79*B97</f>
        <v>0</v>
      </c>
      <c r="D79" s="40"/>
      <c r="E79" s="40" t="s">
        <v>38</v>
      </c>
      <c r="F79" s="40" t="n">
        <f aca="false">H37</f>
        <v>0</v>
      </c>
      <c r="G79" s="40" t="n">
        <f aca="false">F79*B97</f>
        <v>0</v>
      </c>
      <c r="H79" s="47"/>
      <c r="I79" s="40" t="s">
        <v>38</v>
      </c>
      <c r="J79" s="40" t="n">
        <f aca="false">B37</f>
        <v>1.1635125</v>
      </c>
      <c r="K79" s="40" t="n">
        <f aca="false">J79*B97</f>
        <v>37.2789405</v>
      </c>
      <c r="Q79" s="6" t="s">
        <v>53</v>
      </c>
      <c r="R79" s="31" t="n">
        <f aca="false">SUM(R73:R78)</f>
        <v>32270.697434654</v>
      </c>
      <c r="S79" s="24" t="n">
        <f aca="false">SUM(S73:S78)</f>
        <v>829144.506831196</v>
      </c>
      <c r="T79" s="31" t="n">
        <f aca="false">SUM(T73:T78)</f>
        <v>32270.697434654</v>
      </c>
      <c r="U79" s="24" t="n">
        <f aca="false">SUM(U73:U78)</f>
        <v>829144.506831196</v>
      </c>
      <c r="V79" s="31" t="n">
        <f aca="false">SUM(V73:V78)</f>
        <v>32270.697434654</v>
      </c>
      <c r="W79" s="24" t="n">
        <f aca="false">SUM(W73:W78)</f>
        <v>829144.506831196</v>
      </c>
      <c r="X79" s="31" t="n">
        <f aca="false">SUM(X73:X78)</f>
        <v>32270.697434654</v>
      </c>
      <c r="Y79" s="24" t="n">
        <f aca="false">SUM(Y73:Y78)</f>
        <v>829144.506831196</v>
      </c>
      <c r="Z79" s="31" t="n">
        <f aca="false">SUM(Z73:Z78)</f>
        <v>32270.697434654</v>
      </c>
      <c r="AA79" s="24" t="n">
        <f aca="false">SUM(AA73:AA78)</f>
        <v>829144.506831196</v>
      </c>
    </row>
    <row r="80" customFormat="false" ht="15" hidden="false" customHeight="false" outlineLevel="0" collapsed="false">
      <c r="A80" s="40" t="s">
        <v>41</v>
      </c>
      <c r="B80" s="40" t="n">
        <f aca="false">D8</f>
        <v>23</v>
      </c>
      <c r="C80" s="40" t="n">
        <f aca="false">B80*B98</f>
        <v>1290.53</v>
      </c>
      <c r="D80" s="40"/>
      <c r="E80" s="40" t="s">
        <v>41</v>
      </c>
      <c r="F80" s="40" t="n">
        <f aca="false">H38</f>
        <v>0.23</v>
      </c>
      <c r="G80" s="40" t="n">
        <f aca="false">F80*B98</f>
        <v>12.9053</v>
      </c>
      <c r="H80" s="47"/>
      <c r="I80" s="40" t="s">
        <v>41</v>
      </c>
      <c r="J80" s="40" t="n">
        <f aca="false">B38</f>
        <v>0</v>
      </c>
      <c r="K80" s="40" t="n">
        <f aca="false">J80*B98</f>
        <v>0</v>
      </c>
    </row>
    <row r="81" customFormat="false" ht="15" hidden="false" customHeight="false" outlineLevel="0" collapsed="false">
      <c r="A81" s="40" t="s">
        <v>40</v>
      </c>
      <c r="B81" s="40" t="n">
        <f aca="false">D9</f>
        <v>20</v>
      </c>
      <c r="C81" s="40" t="n">
        <f aca="false">B81*B99</f>
        <v>1122.2</v>
      </c>
      <c r="D81" s="40"/>
      <c r="E81" s="40" t="s">
        <v>40</v>
      </c>
      <c r="F81" s="40" t="n">
        <f aca="false">H39</f>
        <v>6.66666666666667</v>
      </c>
      <c r="G81" s="40" t="n">
        <f aca="false">F81*B99</f>
        <v>374.066666666667</v>
      </c>
      <c r="H81" s="47"/>
      <c r="I81" s="40" t="s">
        <v>40</v>
      </c>
      <c r="J81" s="40" t="n">
        <f aca="false">B39</f>
        <v>0</v>
      </c>
      <c r="K81" s="40" t="n">
        <f aca="false">J81*B99</f>
        <v>0</v>
      </c>
    </row>
    <row r="82" customFormat="false" ht="15" hidden="false" customHeight="false" outlineLevel="0" collapsed="false">
      <c r="A82" s="40" t="s">
        <v>42</v>
      </c>
      <c r="B82" s="40" t="n">
        <f aca="false">D10</f>
        <v>57</v>
      </c>
      <c r="C82" s="40" t="n">
        <f aca="false">B82*B100</f>
        <v>3198.27</v>
      </c>
      <c r="D82" s="40"/>
      <c r="E82" s="40" t="s">
        <v>42</v>
      </c>
      <c r="F82" s="40" t="n">
        <f aca="false">H40</f>
        <v>19</v>
      </c>
      <c r="G82" s="40" t="n">
        <f aca="false">F82*B100</f>
        <v>1066.09</v>
      </c>
      <c r="H82" s="47"/>
      <c r="I82" s="40" t="s">
        <v>42</v>
      </c>
      <c r="J82" s="40" t="n">
        <f aca="false">B40</f>
        <v>0</v>
      </c>
      <c r="K82" s="40" t="n">
        <f aca="false">J82*B100</f>
        <v>0</v>
      </c>
    </row>
    <row r="83" customFormat="false" ht="15" hidden="false" customHeight="false" outlineLevel="0" collapsed="false">
      <c r="A83" s="40" t="s">
        <v>46</v>
      </c>
      <c r="B83" s="40" t="n">
        <f aca="false">D11</f>
        <v>0</v>
      </c>
      <c r="C83" s="40" t="n">
        <f aca="false">B83*B101</f>
        <v>0</v>
      </c>
      <c r="D83" s="40"/>
      <c r="E83" s="40" t="s">
        <v>46</v>
      </c>
      <c r="F83" s="40" t="n">
        <f aca="false">H41</f>
        <v>0</v>
      </c>
      <c r="G83" s="40" t="n">
        <f aca="false">F83*B101</f>
        <v>0</v>
      </c>
      <c r="H83" s="47"/>
      <c r="I83" s="40" t="s">
        <v>46</v>
      </c>
      <c r="J83" s="40" t="n">
        <f aca="false">B41</f>
        <v>0.0612375</v>
      </c>
      <c r="K83" s="40" t="n">
        <f aca="false">J83*B101</f>
        <v>5.398085625</v>
      </c>
    </row>
    <row r="84" customFormat="false" ht="15" hidden="false" customHeight="false" outlineLevel="0" collapsed="false">
      <c r="A84" s="40" t="s">
        <v>50</v>
      </c>
      <c r="B84" s="40" t="n">
        <f aca="false">D12</f>
        <v>0</v>
      </c>
      <c r="C84" s="40" t="n">
        <f aca="false">B84*B102</f>
        <v>0</v>
      </c>
      <c r="D84" s="40"/>
      <c r="E84" s="40" t="s">
        <v>50</v>
      </c>
      <c r="F84" s="40" t="n">
        <f aca="false">H42</f>
        <v>0</v>
      </c>
      <c r="G84" s="40" t="n">
        <f aca="false">F84*B102</f>
        <v>0</v>
      </c>
      <c r="H84" s="47"/>
      <c r="I84" s="40" t="s">
        <v>50</v>
      </c>
      <c r="J84" s="40" t="n">
        <f aca="false">B42</f>
        <v>0</v>
      </c>
      <c r="K84" s="40" t="n">
        <f aca="false">J84*B102</f>
        <v>0</v>
      </c>
    </row>
    <row r="85" customFormat="false" ht="15" hidden="false" customHeight="false" outlineLevel="0" collapsed="false">
      <c r="A85" s="40"/>
      <c r="B85" s="40"/>
      <c r="C85" s="40"/>
      <c r="D85" s="40"/>
      <c r="E85" s="40"/>
      <c r="F85" s="40"/>
      <c r="G85" s="40"/>
      <c r="H85" s="47"/>
      <c r="I85" s="40"/>
      <c r="J85" s="40"/>
      <c r="K85" s="40"/>
    </row>
    <row r="86" customFormat="false" ht="15" hidden="false" customHeight="false" outlineLevel="0" collapsed="false">
      <c r="A86" s="48" t="s">
        <v>100</v>
      </c>
      <c r="B86" s="48"/>
      <c r="C86" s="48"/>
      <c r="D86" s="40"/>
      <c r="E86" s="48" t="s">
        <v>101</v>
      </c>
      <c r="F86" s="48"/>
      <c r="G86" s="48"/>
      <c r="H86" s="47"/>
      <c r="I86" s="48" t="s">
        <v>102</v>
      </c>
      <c r="J86" s="48"/>
      <c r="K86" s="48"/>
    </row>
    <row r="87" customFormat="false" ht="15" hidden="false" customHeight="false" outlineLevel="0" collapsed="false">
      <c r="A87" s="40"/>
      <c r="B87" s="40" t="s">
        <v>95</v>
      </c>
      <c r="C87" s="40" t="s">
        <v>96</v>
      </c>
      <c r="D87" s="40"/>
      <c r="E87" s="40"/>
      <c r="F87" s="40" t="s">
        <v>95</v>
      </c>
      <c r="G87" s="40" t="s">
        <v>96</v>
      </c>
      <c r="H87" s="47"/>
      <c r="I87" s="40"/>
      <c r="J87" s="40" t="s">
        <v>95</v>
      </c>
      <c r="K87" s="40" t="s">
        <v>96</v>
      </c>
    </row>
    <row r="88" customFormat="false" ht="15" hidden="false" customHeight="false" outlineLevel="0" collapsed="false">
      <c r="A88" s="40" t="s">
        <v>38</v>
      </c>
      <c r="B88" s="40" t="n">
        <f aca="false">F37</f>
        <v>0</v>
      </c>
      <c r="C88" s="40" t="n">
        <f aca="false">B88*B97</f>
        <v>0</v>
      </c>
      <c r="D88" s="40"/>
      <c r="E88" s="40" t="s">
        <v>38</v>
      </c>
      <c r="F88" s="40" t="n">
        <f aca="false">F57</f>
        <v>0.74911515111111</v>
      </c>
      <c r="G88" s="40" t="n">
        <f aca="false">F88*B97</f>
        <v>24.0016494416</v>
      </c>
      <c r="H88" s="47"/>
      <c r="I88" s="40" t="s">
        <v>38</v>
      </c>
      <c r="J88" s="40" t="n">
        <f aca="false">H47</f>
        <v>3.94271111111111</v>
      </c>
      <c r="K88" s="40" t="n">
        <f aca="false">J88*B97</f>
        <v>126.324464</v>
      </c>
    </row>
    <row r="89" customFormat="false" ht="15" hidden="false" customHeight="false" outlineLevel="0" collapsed="false">
      <c r="A89" s="40" t="s">
        <v>41</v>
      </c>
      <c r="B89" s="40" t="n">
        <f aca="false">F38</f>
        <v>0</v>
      </c>
      <c r="C89" s="40" t="n">
        <f aca="false">B89*B98</f>
        <v>0</v>
      </c>
      <c r="D89" s="40"/>
      <c r="E89" s="40" t="s">
        <v>41</v>
      </c>
      <c r="F89" s="40" t="n">
        <f aca="false">F58</f>
        <v>0</v>
      </c>
      <c r="G89" s="40" t="n">
        <f aca="false">F89*B98</f>
        <v>0</v>
      </c>
      <c r="H89" s="47"/>
      <c r="I89" s="40" t="s">
        <v>41</v>
      </c>
      <c r="J89" s="40" t="n">
        <f aca="false">H48</f>
        <v>0</v>
      </c>
      <c r="K89" s="40" t="n">
        <f aca="false">J89*B98</f>
        <v>0</v>
      </c>
    </row>
    <row r="90" customFormat="false" ht="15" hidden="false" customHeight="false" outlineLevel="0" collapsed="false">
      <c r="A90" s="40" t="s">
        <v>40</v>
      </c>
      <c r="B90" s="40" t="n">
        <f aca="false">F39</f>
        <v>0</v>
      </c>
      <c r="C90" s="40" t="n">
        <f aca="false">B90*B99</f>
        <v>0</v>
      </c>
      <c r="D90" s="40"/>
      <c r="E90" s="40" t="s">
        <v>40</v>
      </c>
      <c r="F90" s="40" t="n">
        <f aca="false">F59</f>
        <v>0</v>
      </c>
      <c r="G90" s="40" t="n">
        <f aca="false">F90*B99</f>
        <v>0</v>
      </c>
      <c r="H90" s="47"/>
      <c r="I90" s="40" t="s">
        <v>40</v>
      </c>
      <c r="J90" s="40" t="n">
        <f aca="false">H49</f>
        <v>0</v>
      </c>
      <c r="K90" s="40" t="n">
        <f aca="false">J90*B99</f>
        <v>0</v>
      </c>
    </row>
    <row r="91" customFormat="false" ht="15" hidden="false" customHeight="false" outlineLevel="0" collapsed="false">
      <c r="A91" s="40" t="s">
        <v>42</v>
      </c>
      <c r="B91" s="40" t="n">
        <f aca="false">F40</f>
        <v>0</v>
      </c>
      <c r="C91" s="40" t="n">
        <f aca="false">B91*B100</f>
        <v>0</v>
      </c>
      <c r="D91" s="40"/>
      <c r="E91" s="40" t="s">
        <v>42</v>
      </c>
      <c r="F91" s="40" t="n">
        <f aca="false">F60</f>
        <v>0</v>
      </c>
      <c r="G91" s="40" t="n">
        <f aca="false">F91*B100</f>
        <v>0</v>
      </c>
      <c r="H91" s="47"/>
      <c r="I91" s="40" t="s">
        <v>42</v>
      </c>
      <c r="J91" s="40" t="n">
        <f aca="false">H50</f>
        <v>0</v>
      </c>
      <c r="K91" s="40" t="n">
        <f aca="false">J91*B100</f>
        <v>0</v>
      </c>
    </row>
    <row r="92" customFormat="false" ht="15" hidden="false" customHeight="false" outlineLevel="0" collapsed="false">
      <c r="A92" s="40" t="s">
        <v>46</v>
      </c>
      <c r="B92" s="40" t="n">
        <f aca="false">F41</f>
        <v>0</v>
      </c>
      <c r="C92" s="40" t="n">
        <f aca="false">B92*B101</f>
        <v>0</v>
      </c>
      <c r="D92" s="40"/>
      <c r="E92" s="40" t="s">
        <v>46</v>
      </c>
      <c r="F92" s="40" t="n">
        <f aca="false">F61</f>
        <v>0</v>
      </c>
      <c r="G92" s="40" t="n">
        <f aca="false">F92*B101</f>
        <v>0</v>
      </c>
      <c r="H92" s="47"/>
      <c r="I92" s="40" t="s">
        <v>46</v>
      </c>
      <c r="J92" s="40" t="n">
        <f aca="false">H51</f>
        <v>0</v>
      </c>
      <c r="K92" s="40" t="n">
        <f aca="false">J92*B101</f>
        <v>0</v>
      </c>
    </row>
    <row r="93" customFormat="false" ht="15" hidden="false" customHeight="false" outlineLevel="0" collapsed="false">
      <c r="A93" s="40" t="s">
        <v>50</v>
      </c>
      <c r="B93" s="40" t="n">
        <f aca="false">F42</f>
        <v>14.7851666666667</v>
      </c>
      <c r="C93" s="40" t="n">
        <f aca="false">B93*B102</f>
        <v>266.428703333333</v>
      </c>
      <c r="D93" s="40"/>
      <c r="E93" s="40" t="s">
        <v>50</v>
      </c>
      <c r="F93" s="40" t="n">
        <f aca="false">F62</f>
        <v>14.2331878711111</v>
      </c>
      <c r="G93" s="40" t="n">
        <f aca="false">F93*B102</f>
        <v>256.482045437422</v>
      </c>
      <c r="H93" s="47"/>
      <c r="I93" s="40" t="s">
        <v>50</v>
      </c>
      <c r="J93" s="40" t="n">
        <f aca="false">H52</f>
        <v>0</v>
      </c>
      <c r="K93" s="40" t="n">
        <f aca="false">J93*B102</f>
        <v>0</v>
      </c>
    </row>
    <row r="94" customFormat="false" ht="15" hidden="false" customHeight="false" outlineLevel="0" collapsed="false">
      <c r="A94" s="49"/>
      <c r="B94" s="49"/>
      <c r="C94" s="49"/>
      <c r="D94" s="49"/>
      <c r="E94" s="49"/>
      <c r="F94" s="49"/>
      <c r="G94" s="49"/>
      <c r="H94" s="47"/>
      <c r="I94" s="40"/>
      <c r="J94" s="40"/>
      <c r="K94" s="40"/>
    </row>
    <row r="95" customFormat="false" ht="15" hidden="false" customHeight="false" outlineLevel="0" collapsed="false">
      <c r="A95" s="47"/>
      <c r="B95" s="47"/>
      <c r="C95" s="47"/>
      <c r="D95" s="47"/>
      <c r="E95" s="47"/>
      <c r="F95" s="47"/>
      <c r="G95" s="47"/>
      <c r="H95" s="47"/>
      <c r="I95" s="48" t="s">
        <v>103</v>
      </c>
      <c r="J95" s="48"/>
      <c r="K95" s="48"/>
    </row>
    <row r="96" customFormat="false" ht="15" hidden="false" customHeight="false" outlineLevel="0" collapsed="false">
      <c r="A96" s="40"/>
      <c r="B96" s="40" t="s">
        <v>104</v>
      </c>
      <c r="C96" s="50" t="s">
        <v>33</v>
      </c>
      <c r="D96" s="50"/>
      <c r="E96" s="50" t="s">
        <v>105</v>
      </c>
      <c r="F96" s="50"/>
      <c r="G96" s="47"/>
      <c r="H96" s="47"/>
      <c r="I96" s="40"/>
      <c r="J96" s="40" t="s">
        <v>95</v>
      </c>
      <c r="K96" s="40" t="s">
        <v>96</v>
      </c>
    </row>
    <row r="97" customFormat="false" ht="15" hidden="false" customHeight="false" outlineLevel="0" collapsed="false">
      <c r="A97" s="40" t="s">
        <v>38</v>
      </c>
      <c r="B97" s="40" t="n">
        <v>32.04</v>
      </c>
      <c r="C97" s="50" t="n">
        <v>8.76</v>
      </c>
      <c r="D97" s="50"/>
      <c r="E97" s="26" t="n">
        <v>17.13399505</v>
      </c>
      <c r="F97" s="26"/>
      <c r="G97" s="47"/>
      <c r="H97" s="47"/>
      <c r="I97" s="40" t="s">
        <v>38</v>
      </c>
      <c r="J97" s="40" t="n">
        <f aca="false">D57</f>
        <v>2.20791918222222</v>
      </c>
      <c r="K97" s="40" t="n">
        <f aca="false">J97*B97</f>
        <v>70.7417305984001</v>
      </c>
    </row>
    <row r="98" customFormat="false" ht="15" hidden="false" customHeight="false" outlineLevel="0" collapsed="false">
      <c r="A98" s="40" t="s">
        <v>41</v>
      </c>
      <c r="B98" s="40" t="n">
        <v>56.11</v>
      </c>
      <c r="C98" s="50" t="n">
        <v>8.76</v>
      </c>
      <c r="D98" s="50"/>
      <c r="E98" s="26" t="n">
        <v>17.13399505</v>
      </c>
      <c r="F98" s="26"/>
      <c r="G98" s="47"/>
      <c r="H98" s="47"/>
      <c r="I98" s="40" t="s">
        <v>41</v>
      </c>
      <c r="J98" s="40" t="n">
        <f aca="false">D58</f>
        <v>0</v>
      </c>
      <c r="K98" s="40" t="n">
        <f aca="false">J98*B98</f>
        <v>0</v>
      </c>
    </row>
    <row r="99" customFormat="false" ht="15" hidden="false" customHeight="false" outlineLevel="0" collapsed="false">
      <c r="A99" s="40" t="s">
        <v>40</v>
      </c>
      <c r="B99" s="40" t="n">
        <v>56.11</v>
      </c>
      <c r="C99" s="50" t="n">
        <v>8.76</v>
      </c>
      <c r="D99" s="50"/>
      <c r="E99" s="26" t="n">
        <v>17.13399505</v>
      </c>
      <c r="F99" s="26"/>
      <c r="G99" s="47"/>
      <c r="H99" s="47"/>
      <c r="I99" s="40" t="s">
        <v>40</v>
      </c>
      <c r="J99" s="40" t="n">
        <f aca="false">D59</f>
        <v>0</v>
      </c>
      <c r="K99" s="40" t="n">
        <f aca="false">J99*B99</f>
        <v>0</v>
      </c>
    </row>
    <row r="100" customFormat="false" ht="15" hidden="false" customHeight="false" outlineLevel="0" collapsed="false">
      <c r="A100" s="40" t="s">
        <v>42</v>
      </c>
      <c r="B100" s="40" t="n">
        <v>56.11</v>
      </c>
      <c r="C100" s="50" t="n">
        <v>8.76</v>
      </c>
      <c r="D100" s="50"/>
      <c r="E100" s="26" t="n">
        <v>17.13399505</v>
      </c>
      <c r="F100" s="26"/>
      <c r="G100" s="47"/>
      <c r="H100" s="47"/>
      <c r="I100" s="40" t="s">
        <v>42</v>
      </c>
      <c r="J100" s="40" t="n">
        <f aca="false">D60</f>
        <v>0</v>
      </c>
      <c r="K100" s="40" t="n">
        <f aca="false">J100*B100</f>
        <v>0</v>
      </c>
    </row>
    <row r="101" customFormat="false" ht="15" hidden="false" customHeight="false" outlineLevel="0" collapsed="false">
      <c r="A101" s="40" t="s">
        <v>46</v>
      </c>
      <c r="B101" s="40" t="n">
        <v>88.15</v>
      </c>
      <c r="C101" s="50" t="n">
        <v>8.76</v>
      </c>
      <c r="D101" s="50"/>
      <c r="E101" s="26" t="n">
        <v>17.13399505</v>
      </c>
      <c r="F101" s="26"/>
      <c r="G101" s="47"/>
      <c r="H101" s="47"/>
      <c r="I101" s="40" t="s">
        <v>46</v>
      </c>
      <c r="J101" s="40" t="n">
        <f aca="false">D61</f>
        <v>0</v>
      </c>
      <c r="K101" s="40" t="n">
        <f aca="false">J101*B101</f>
        <v>0</v>
      </c>
    </row>
    <row r="102" customFormat="false" ht="15" hidden="false" customHeight="false" outlineLevel="0" collapsed="false">
      <c r="A102" s="40" t="s">
        <v>50</v>
      </c>
      <c r="B102" s="40" t="n">
        <v>18.02</v>
      </c>
      <c r="C102" s="50" t="n">
        <v>8.76</v>
      </c>
      <c r="D102" s="50"/>
      <c r="E102" s="26" t="n">
        <v>17.13399505</v>
      </c>
      <c r="F102" s="26"/>
      <c r="G102" s="47"/>
      <c r="H102" s="47"/>
      <c r="I102" s="40" t="s">
        <v>50</v>
      </c>
      <c r="J102" s="40" t="n">
        <f aca="false">D62</f>
        <v>0.551979795555556</v>
      </c>
      <c r="K102" s="40" t="n">
        <f aca="false">J102*B102</f>
        <v>9.94667591591112</v>
      </c>
    </row>
    <row r="103" customFormat="false" ht="15" hidden="false" customHeight="false" outlineLevel="0" collapsed="false">
      <c r="A103" s="40"/>
      <c r="B103" s="40"/>
      <c r="C103" s="51"/>
      <c r="D103" s="52"/>
      <c r="E103" s="47"/>
      <c r="F103" s="47"/>
      <c r="G103" s="47"/>
      <c r="H103" s="47"/>
      <c r="I103" s="47"/>
      <c r="J103" s="47"/>
      <c r="K103" s="47"/>
    </row>
    <row r="104" customFormat="false" ht="15" hidden="false" customHeight="false" outlineLevel="0" collapsed="false">
      <c r="A104" s="53" t="s">
        <v>106</v>
      </c>
      <c r="B104" s="53" t="n">
        <f aca="false">SUM(C70:C75,C79:C84,C88:C93)-SUM(G70:G75,G79:G84,G88:G93,K70:K75,K79:K84,K88:K93,K97:K102)</f>
        <v>252.648877940001</v>
      </c>
      <c r="C104" s="51"/>
      <c r="D104" s="52"/>
      <c r="E104" s="47"/>
      <c r="F104" s="47"/>
      <c r="G104" s="47"/>
      <c r="H104" s="47"/>
      <c r="I104" s="47"/>
      <c r="J104" s="47"/>
      <c r="K104" s="47"/>
    </row>
    <row r="106" customFormat="false" ht="15" hidden="false" customHeight="false" outlineLevel="0" collapsed="false">
      <c r="A106" s="4" t="s">
        <v>107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8" customFormat="false" ht="15" hidden="false" customHeight="false" outlineLevel="0" collapsed="false">
      <c r="A108" s="54" t="s">
        <v>6</v>
      </c>
      <c r="B108" s="45" t="n">
        <v>1</v>
      </c>
      <c r="C108" s="45"/>
      <c r="D108" s="45" t="n">
        <v>2</v>
      </c>
      <c r="E108" s="45"/>
      <c r="F108" s="45" t="n">
        <v>3</v>
      </c>
      <c r="G108" s="45"/>
      <c r="H108" s="45" t="n">
        <v>4</v>
      </c>
      <c r="I108" s="45"/>
      <c r="J108" s="45" t="n">
        <v>5</v>
      </c>
      <c r="K108" s="45"/>
    </row>
    <row r="109" customFormat="false" ht="15" hidden="false" customHeight="false" outlineLevel="0" collapsed="false">
      <c r="A109" s="54" t="s">
        <v>30</v>
      </c>
      <c r="B109" s="55" t="s">
        <v>108</v>
      </c>
      <c r="C109" s="56" t="s">
        <v>109</v>
      </c>
      <c r="D109" s="55" t="s">
        <v>108</v>
      </c>
      <c r="E109" s="56" t="s">
        <v>109</v>
      </c>
      <c r="F109" s="55" t="s">
        <v>108</v>
      </c>
      <c r="G109" s="56" t="s">
        <v>109</v>
      </c>
      <c r="H109" s="55" t="s">
        <v>108</v>
      </c>
      <c r="I109" s="56" t="s">
        <v>109</v>
      </c>
      <c r="J109" s="55" t="s">
        <v>108</v>
      </c>
      <c r="K109" s="56" t="s">
        <v>109</v>
      </c>
    </row>
    <row r="110" customFormat="false" ht="15" hidden="false" customHeight="false" outlineLevel="0" collapsed="false">
      <c r="A110" s="54" t="s">
        <v>38</v>
      </c>
      <c r="B110" s="57" t="n">
        <f aca="false">B7*B97</f>
        <v>2210.76</v>
      </c>
      <c r="C110" s="58" t="n">
        <f aca="false">B110/B116</f>
        <v>1</v>
      </c>
      <c r="D110" s="59" t="n">
        <f aca="false">D7*B97</f>
        <v>0</v>
      </c>
      <c r="E110" s="60" t="n">
        <v>0</v>
      </c>
      <c r="F110" s="59" t="n">
        <f aca="false">F7*B97</f>
        <v>2210.76</v>
      </c>
      <c r="G110" s="60" t="n">
        <f aca="false">F110/F116</f>
        <v>1</v>
      </c>
      <c r="H110" s="57" t="n">
        <f aca="false">H7*B97</f>
        <v>2210.76</v>
      </c>
      <c r="I110" s="58" t="n">
        <f aca="false">G110</f>
        <v>1</v>
      </c>
      <c r="J110" s="57" t="n">
        <f aca="false">J7*B97</f>
        <v>0</v>
      </c>
      <c r="K110" s="58" t="n">
        <f aca="false">E110</f>
        <v>0</v>
      </c>
    </row>
    <row r="111" customFormat="false" ht="15" hidden="false" customHeight="false" outlineLevel="0" collapsed="false">
      <c r="A111" s="54" t="s">
        <v>41</v>
      </c>
      <c r="B111" s="57" t="n">
        <f aca="false">B8*B98</f>
        <v>0</v>
      </c>
      <c r="C111" s="58" t="n">
        <f aca="false">B111/B116</f>
        <v>0</v>
      </c>
      <c r="D111" s="59" t="n">
        <f aca="false">D8*B98</f>
        <v>1290.53</v>
      </c>
      <c r="E111" s="60" t="n">
        <v>0.23</v>
      </c>
      <c r="F111" s="59" t="n">
        <f aca="false">F8*B98</f>
        <v>0</v>
      </c>
      <c r="G111" s="60" t="n">
        <f aca="false">F111/F116</f>
        <v>0</v>
      </c>
      <c r="H111" s="57" t="n">
        <f aca="false">H8*B98</f>
        <v>0</v>
      </c>
      <c r="I111" s="58" t="n">
        <f aca="false">E111</f>
        <v>0.23</v>
      </c>
      <c r="J111" s="57" t="n">
        <f aca="false">J8*B98</f>
        <v>1290.53</v>
      </c>
      <c r="K111" s="58" t="n">
        <f aca="false">E111</f>
        <v>0.23</v>
      </c>
    </row>
    <row r="112" customFormat="false" ht="15" hidden="false" customHeight="false" outlineLevel="0" collapsed="false">
      <c r="A112" s="54" t="s">
        <v>43</v>
      </c>
      <c r="B112" s="57" t="n">
        <f aca="false">B9*B99</f>
        <v>0</v>
      </c>
      <c r="C112" s="58" t="n">
        <f aca="false">B112/B116</f>
        <v>0</v>
      </c>
      <c r="D112" s="59" t="n">
        <f aca="false">D9*B99</f>
        <v>1122.2</v>
      </c>
      <c r="E112" s="60" t="n">
        <v>0.2</v>
      </c>
      <c r="F112" s="59" t="n">
        <f aca="false">F9*B99</f>
        <v>0</v>
      </c>
      <c r="G112" s="60" t="n">
        <f aca="false">F112/F116</f>
        <v>0</v>
      </c>
      <c r="H112" s="57" t="n">
        <f aca="false">H9*B99</f>
        <v>0</v>
      </c>
      <c r="I112" s="58" t="n">
        <f aca="false">E112</f>
        <v>0.2</v>
      </c>
      <c r="J112" s="57" t="n">
        <f aca="false">J9*B99</f>
        <v>1122.2</v>
      </c>
      <c r="K112" s="58" t="n">
        <f aca="false">E112</f>
        <v>0.2</v>
      </c>
    </row>
    <row r="113" customFormat="false" ht="15" hidden="false" customHeight="false" outlineLevel="0" collapsed="false">
      <c r="A113" s="54" t="s">
        <v>42</v>
      </c>
      <c r="B113" s="57" t="n">
        <f aca="false">B10*B100</f>
        <v>0</v>
      </c>
      <c r="C113" s="58" t="n">
        <f aca="false">B113/B116</f>
        <v>0</v>
      </c>
      <c r="D113" s="59" t="n">
        <f aca="false">D10*B100</f>
        <v>3198.27</v>
      </c>
      <c r="E113" s="60" t="n">
        <v>0.57</v>
      </c>
      <c r="F113" s="59" t="n">
        <f aca="false">F10*B100</f>
        <v>0</v>
      </c>
      <c r="G113" s="60" t="n">
        <f aca="false">F113/F116</f>
        <v>0</v>
      </c>
      <c r="H113" s="57" t="n">
        <f aca="false">H10*B100</f>
        <v>0</v>
      </c>
      <c r="I113" s="58" t="n">
        <f aca="false">E113</f>
        <v>0.57</v>
      </c>
      <c r="J113" s="57" t="n">
        <f aca="false">J10*B100</f>
        <v>3198.27</v>
      </c>
      <c r="K113" s="58" t="n">
        <f aca="false">E113</f>
        <v>0.57</v>
      </c>
    </row>
    <row r="114" customFormat="false" ht="15" hidden="false" customHeight="false" outlineLevel="0" collapsed="false">
      <c r="A114" s="54" t="s">
        <v>46</v>
      </c>
      <c r="B114" s="57" t="n">
        <f aca="false">B11*B101</f>
        <v>0</v>
      </c>
      <c r="C114" s="58" t="n">
        <f aca="false">B114/B116</f>
        <v>0</v>
      </c>
      <c r="D114" s="59" t="n">
        <f aca="false">D11*B101</f>
        <v>0</v>
      </c>
      <c r="E114" s="60" t="n">
        <v>0</v>
      </c>
      <c r="F114" s="59" t="n">
        <f aca="false">F11*B101</f>
        <v>0</v>
      </c>
      <c r="G114" s="60" t="n">
        <f aca="false">F114/F116</f>
        <v>0</v>
      </c>
      <c r="H114" s="57" t="n">
        <f aca="false">H11*B101</f>
        <v>0</v>
      </c>
      <c r="I114" s="58" t="n">
        <f aca="false">E114</f>
        <v>0</v>
      </c>
      <c r="J114" s="57" t="n">
        <f aca="false">J11*B101</f>
        <v>0</v>
      </c>
      <c r="K114" s="58" t="n">
        <f aca="false">E114</f>
        <v>0</v>
      </c>
    </row>
    <row r="115" customFormat="false" ht="15" hidden="false" customHeight="false" outlineLevel="0" collapsed="false">
      <c r="A115" s="54" t="s">
        <v>50</v>
      </c>
      <c r="B115" s="57" t="n">
        <f aca="false">B12*B102</f>
        <v>0</v>
      </c>
      <c r="C115" s="58" t="n">
        <f aca="false">B115/B116</f>
        <v>0</v>
      </c>
      <c r="D115" s="59" t="n">
        <f aca="false">D12*B102</f>
        <v>0</v>
      </c>
      <c r="E115" s="60" t="n">
        <v>0</v>
      </c>
      <c r="F115" s="59" t="n">
        <f aca="false">F12*B102</f>
        <v>0</v>
      </c>
      <c r="G115" s="60" t="n">
        <f aca="false">F115/F116</f>
        <v>0</v>
      </c>
      <c r="H115" s="57" t="n">
        <f aca="false">H12*B102</f>
        <v>0</v>
      </c>
      <c r="I115" s="58" t="n">
        <f aca="false">E115</f>
        <v>0</v>
      </c>
      <c r="J115" s="57" t="n">
        <f aca="false">J12*B102</f>
        <v>0</v>
      </c>
      <c r="K115" s="58" t="n">
        <f aca="false">E115</f>
        <v>0</v>
      </c>
    </row>
    <row r="116" customFormat="false" ht="15" hidden="false" customHeight="false" outlineLevel="0" collapsed="false">
      <c r="A116" s="54" t="s">
        <v>53</v>
      </c>
      <c r="B116" s="61" t="n">
        <f aca="false">SUM(B110:B115)</f>
        <v>2210.76</v>
      </c>
      <c r="C116" s="62" t="n">
        <f aca="false">SUM(C110:C115)</f>
        <v>1</v>
      </c>
      <c r="D116" s="63" t="n">
        <v>100</v>
      </c>
      <c r="E116" s="64" t="n">
        <f aca="false">SUM(E110:E115)</f>
        <v>1</v>
      </c>
      <c r="F116" s="63" t="n">
        <f aca="false">SUM(F110:F115)</f>
        <v>2210.76</v>
      </c>
      <c r="G116" s="64" t="n">
        <f aca="false">SUM(G110:G115)</f>
        <v>1</v>
      </c>
      <c r="H116" s="61" t="n">
        <f aca="false">SUM(H110:H115)</f>
        <v>2210.76</v>
      </c>
      <c r="I116" s="62" t="n">
        <f aca="false">SUM(I110:I115)</f>
        <v>2</v>
      </c>
      <c r="J116" s="61" t="n">
        <f aca="false">SUM(J110:J115)</f>
        <v>5611</v>
      </c>
      <c r="K116" s="62" t="n">
        <f aca="false">SUM(K110:K115)</f>
        <v>1</v>
      </c>
    </row>
    <row r="118" customFormat="false" ht="15" hidden="false" customHeight="false" outlineLevel="0" collapsed="false">
      <c r="A118" s="54" t="s">
        <v>6</v>
      </c>
      <c r="B118" s="45" t="n">
        <v>6</v>
      </c>
      <c r="C118" s="45"/>
      <c r="D118" s="45" t="n">
        <v>7</v>
      </c>
      <c r="E118" s="45"/>
      <c r="F118" s="45" t="n">
        <v>8</v>
      </c>
      <c r="G118" s="45"/>
      <c r="H118" s="45" t="n">
        <v>9</v>
      </c>
      <c r="I118" s="45"/>
      <c r="J118" s="45" t="n">
        <v>10</v>
      </c>
      <c r="K118" s="45"/>
    </row>
    <row r="119" customFormat="false" ht="15" hidden="false" customHeight="false" outlineLevel="0" collapsed="false">
      <c r="A119" s="54" t="s">
        <v>30</v>
      </c>
      <c r="B119" s="55" t="s">
        <v>108</v>
      </c>
      <c r="C119" s="56" t="s">
        <v>109</v>
      </c>
      <c r="D119" s="55" t="s">
        <v>108</v>
      </c>
      <c r="E119" s="56" t="s">
        <v>109</v>
      </c>
      <c r="F119" s="55" t="s">
        <v>108</v>
      </c>
      <c r="G119" s="56" t="s">
        <v>109</v>
      </c>
      <c r="H119" s="55" t="s">
        <v>108</v>
      </c>
      <c r="I119" s="56" t="s">
        <v>109</v>
      </c>
      <c r="J119" s="55" t="s">
        <v>108</v>
      </c>
      <c r="K119" s="56" t="s">
        <v>109</v>
      </c>
    </row>
    <row r="120" customFormat="false" ht="15" hidden="false" customHeight="false" outlineLevel="0" collapsed="false">
      <c r="A120" s="54" t="s">
        <v>38</v>
      </c>
      <c r="B120" s="57" t="n">
        <f aca="false">B17*B97</f>
        <v>2210.76</v>
      </c>
      <c r="C120" s="58" t="n">
        <f aca="false">B120/B126</f>
        <v>0.282642269770486</v>
      </c>
      <c r="D120" s="57" t="n">
        <f aca="false">D17*B97</f>
        <v>2210.76</v>
      </c>
      <c r="E120" s="58" t="n">
        <f aca="false">C120</f>
        <v>0.282642269770486</v>
      </c>
      <c r="F120" s="57" t="n">
        <f aca="false">F17*B97</f>
        <v>1495.9476</v>
      </c>
      <c r="G120" s="58" t="n">
        <f aca="false">F120/F126</f>
        <v>0.191254602544696</v>
      </c>
      <c r="H120" s="57" t="n">
        <f aca="false">H17*B97</f>
        <v>1495.9476</v>
      </c>
      <c r="I120" s="58" t="n">
        <f aca="false">G120</f>
        <v>0.191254602544696</v>
      </c>
      <c r="J120" s="57" t="n">
        <f aca="false">J17*B97</f>
        <v>1495.9476</v>
      </c>
      <c r="K120" s="58" t="n">
        <f aca="false">I120</f>
        <v>0.191254602544696</v>
      </c>
    </row>
    <row r="121" customFormat="false" ht="15" hidden="false" customHeight="false" outlineLevel="0" collapsed="false">
      <c r="A121" s="54" t="s">
        <v>41</v>
      </c>
      <c r="B121" s="57" t="n">
        <f aca="false">B18*B98</f>
        <v>1290.53</v>
      </c>
      <c r="C121" s="58" t="n">
        <f aca="false">B121/B126</f>
        <v>0.164992277952788</v>
      </c>
      <c r="D121" s="57" t="n">
        <f aca="false">D18*B98</f>
        <v>1290.53</v>
      </c>
      <c r="E121" s="58" t="n">
        <f aca="false">C121</f>
        <v>0.164992277952788</v>
      </c>
      <c r="F121" s="57" t="n">
        <f aca="false">F18*B98</f>
        <v>38.7159000000001</v>
      </c>
      <c r="G121" s="58" t="n">
        <f aca="false">F121/F126</f>
        <v>0.00494976833858365</v>
      </c>
      <c r="H121" s="57" t="n">
        <f aca="false">H18*B98</f>
        <v>38.7159000000001</v>
      </c>
      <c r="I121" s="58" t="n">
        <f aca="false">G121</f>
        <v>0.00494976833858365</v>
      </c>
      <c r="J121" s="57" t="n">
        <f aca="false">J18*B98</f>
        <v>38.7159000000001</v>
      </c>
      <c r="K121" s="58" t="n">
        <f aca="false">I121</f>
        <v>0.00494976833858365</v>
      </c>
    </row>
    <row r="122" customFormat="false" ht="15" hidden="false" customHeight="false" outlineLevel="0" collapsed="false">
      <c r="A122" s="54" t="s">
        <v>43</v>
      </c>
      <c r="B122" s="57" t="n">
        <f aca="false">B19*B99</f>
        <v>1122.2</v>
      </c>
      <c r="C122" s="58" t="n">
        <f aca="false">B122/B126</f>
        <v>0.143471546045903</v>
      </c>
      <c r="D122" s="57" t="n">
        <f aca="false">D19*B99</f>
        <v>1122.2</v>
      </c>
      <c r="E122" s="58" t="n">
        <f aca="false">C122</f>
        <v>0.143471546045903</v>
      </c>
      <c r="F122" s="57" t="n">
        <f aca="false">F19*B99</f>
        <v>1122.2</v>
      </c>
      <c r="G122" s="58" t="n">
        <f aca="false">F122/F126</f>
        <v>0.143471546045903</v>
      </c>
      <c r="H122" s="57" t="n">
        <f aca="false">H19*B99</f>
        <v>1122.2</v>
      </c>
      <c r="I122" s="58" t="n">
        <f aca="false">G122</f>
        <v>0.143471546045903</v>
      </c>
      <c r="J122" s="57" t="n">
        <f aca="false">J19*B99</f>
        <v>1122.2</v>
      </c>
      <c r="K122" s="58" t="n">
        <f aca="false">I122</f>
        <v>0.143471546045903</v>
      </c>
    </row>
    <row r="123" customFormat="false" ht="15" hidden="false" customHeight="false" outlineLevel="0" collapsed="false">
      <c r="A123" s="54" t="s">
        <v>42</v>
      </c>
      <c r="B123" s="57" t="n">
        <f aca="false">B20*B100</f>
        <v>3198.27</v>
      </c>
      <c r="C123" s="58" t="n">
        <f aca="false">B123/B126</f>
        <v>0.408893906230823</v>
      </c>
      <c r="D123" s="57" t="n">
        <f aca="false">D20*B100</f>
        <v>3198.27</v>
      </c>
      <c r="E123" s="58" t="n">
        <f aca="false">C123</f>
        <v>0.408893906230823</v>
      </c>
      <c r="F123" s="57" t="n">
        <f aca="false">F20*B100</f>
        <v>3198.27</v>
      </c>
      <c r="G123" s="58" t="n">
        <f aca="false">F123/F126</f>
        <v>0.408893906230823</v>
      </c>
      <c r="H123" s="57" t="n">
        <f aca="false">H20*B100</f>
        <v>3198.27</v>
      </c>
      <c r="I123" s="58" t="n">
        <f aca="false">G123</f>
        <v>0.408893906230823</v>
      </c>
      <c r="J123" s="57" t="n">
        <f aca="false">J20*B100</f>
        <v>3198.27</v>
      </c>
      <c r="K123" s="58" t="n">
        <f aca="false">I123</f>
        <v>0.408893906230823</v>
      </c>
    </row>
    <row r="124" customFormat="false" ht="15" hidden="false" customHeight="false" outlineLevel="0" collapsed="false">
      <c r="A124" s="54" t="s">
        <v>46</v>
      </c>
      <c r="B124" s="57" t="n">
        <f aca="false">B21*B101</f>
        <v>0</v>
      </c>
      <c r="C124" s="58" t="n">
        <f aca="false">B124/B126</f>
        <v>0</v>
      </c>
      <c r="D124" s="57" t="n">
        <f aca="false">D21*B101</f>
        <v>0</v>
      </c>
      <c r="E124" s="58" t="n">
        <f aca="false">C124</f>
        <v>0</v>
      </c>
      <c r="F124" s="57" t="n">
        <f aca="false">F21*B101</f>
        <v>1966.6265</v>
      </c>
      <c r="G124" s="58" t="n">
        <f aca="false">F124/F126</f>
        <v>0.251430176839995</v>
      </c>
      <c r="H124" s="57" t="n">
        <f aca="false">H21*B101</f>
        <v>1966.6265</v>
      </c>
      <c r="I124" s="58" t="n">
        <f aca="false">G124</f>
        <v>0.251430176839995</v>
      </c>
      <c r="J124" s="57" t="n">
        <f aca="false">J21*B101</f>
        <v>1966.6265</v>
      </c>
      <c r="K124" s="58" t="n">
        <f aca="false">I124</f>
        <v>0.251430176839995</v>
      </c>
    </row>
    <row r="125" customFormat="false" ht="15" hidden="false" customHeight="false" outlineLevel="0" collapsed="false">
      <c r="A125" s="54" t="s">
        <v>50</v>
      </c>
      <c r="B125" s="57" t="n">
        <f aca="false">B22*B102</f>
        <v>0</v>
      </c>
      <c r="C125" s="58" t="n">
        <f aca="false">B125/B126</f>
        <v>0</v>
      </c>
      <c r="D125" s="57" t="n">
        <f aca="false">D22*B102</f>
        <v>0</v>
      </c>
      <c r="E125" s="58" t="n">
        <f aca="false">C125</f>
        <v>0</v>
      </c>
      <c r="F125" s="57" t="n">
        <f aca="false">F22*B102</f>
        <v>0</v>
      </c>
      <c r="G125" s="58" t="n">
        <f aca="false">F125/F126</f>
        <v>0</v>
      </c>
      <c r="H125" s="57" t="n">
        <f aca="false">H22*B102</f>
        <v>0</v>
      </c>
      <c r="I125" s="58" t="n">
        <f aca="false">G125</f>
        <v>0</v>
      </c>
      <c r="J125" s="57" t="n">
        <f aca="false">J22*B102</f>
        <v>0</v>
      </c>
      <c r="K125" s="58" t="n">
        <f aca="false">I125</f>
        <v>0</v>
      </c>
    </row>
    <row r="126" customFormat="false" ht="15" hidden="false" customHeight="false" outlineLevel="0" collapsed="false">
      <c r="A126" s="54" t="s">
        <v>53</v>
      </c>
      <c r="B126" s="61" t="n">
        <f aca="false">SUM(B120:B125)</f>
        <v>7821.76</v>
      </c>
      <c r="C126" s="62" t="n">
        <f aca="false">SUM(C120:C125)</f>
        <v>1</v>
      </c>
      <c r="D126" s="61" t="n">
        <f aca="false">SUM(D120:D125)</f>
        <v>7821.76</v>
      </c>
      <c r="E126" s="62" t="n">
        <f aca="false">SUM(E120:E125)</f>
        <v>1</v>
      </c>
      <c r="F126" s="61" t="n">
        <f aca="false">SUM(F120:F125)</f>
        <v>7821.76</v>
      </c>
      <c r="G126" s="62" t="n">
        <f aca="false">SUM(G120:G125)</f>
        <v>1</v>
      </c>
      <c r="H126" s="61" t="n">
        <f aca="false">SUM(H120:H125)</f>
        <v>7821.76</v>
      </c>
      <c r="I126" s="62" t="n">
        <f aca="false">SUM(I120:I125)</f>
        <v>1</v>
      </c>
      <c r="J126" s="61" t="n">
        <f aca="false">SUM(J120:J125)</f>
        <v>7821.76</v>
      </c>
      <c r="K126" s="62" t="n">
        <f aca="false">SUM(K120:K125)</f>
        <v>1</v>
      </c>
    </row>
    <row r="128" customFormat="false" ht="15" hidden="false" customHeight="false" outlineLevel="0" collapsed="false">
      <c r="A128" s="54" t="s">
        <v>6</v>
      </c>
      <c r="B128" s="45" t="n">
        <v>11</v>
      </c>
      <c r="C128" s="45"/>
      <c r="D128" s="45" t="n">
        <v>12</v>
      </c>
      <c r="E128" s="45"/>
      <c r="F128" s="45" t="n">
        <v>13</v>
      </c>
      <c r="G128" s="45"/>
      <c r="H128" s="45" t="n">
        <v>14</v>
      </c>
      <c r="I128" s="45"/>
      <c r="J128" s="45" t="n">
        <v>15</v>
      </c>
      <c r="K128" s="45"/>
    </row>
    <row r="129" customFormat="false" ht="15" hidden="false" customHeight="false" outlineLevel="0" collapsed="false">
      <c r="A129" s="54" t="s">
        <v>30</v>
      </c>
      <c r="B129" s="55" t="s">
        <v>108</v>
      </c>
      <c r="C129" s="56" t="s">
        <v>109</v>
      </c>
      <c r="D129" s="55" t="s">
        <v>108</v>
      </c>
      <c r="E129" s="56" t="s">
        <v>109</v>
      </c>
      <c r="F129" s="55" t="s">
        <v>108</v>
      </c>
      <c r="G129" s="56" t="s">
        <v>109</v>
      </c>
      <c r="H129" s="55" t="s">
        <v>108</v>
      </c>
      <c r="I129" s="56" t="s">
        <v>109</v>
      </c>
      <c r="J129" s="55" t="s">
        <v>108</v>
      </c>
      <c r="K129" s="56" t="s">
        <v>109</v>
      </c>
    </row>
    <row r="130" customFormat="false" ht="15" hidden="false" customHeight="false" outlineLevel="0" collapsed="false">
      <c r="A130" s="54" t="s">
        <v>38</v>
      </c>
      <c r="B130" s="57" t="n">
        <f aca="false">B27*B97</f>
        <v>1421.15022</v>
      </c>
      <c r="C130" s="58" t="n">
        <f aca="false">B130/B136</f>
        <v>0.245859443204836</v>
      </c>
      <c r="D130" s="57" t="n">
        <f aca="false">D27*B97</f>
        <v>1421.15022</v>
      </c>
      <c r="E130" s="58" t="n">
        <f aca="false">C130</f>
        <v>0.245859443204836</v>
      </c>
      <c r="F130" s="57" t="n">
        <f aca="false">F27*B97</f>
        <v>947.43348</v>
      </c>
      <c r="G130" s="58" t="n">
        <f aca="false">F130/F136</f>
        <v>0.245859443204836</v>
      </c>
      <c r="H130" s="57" t="n">
        <f aca="false">H27*B97</f>
        <v>473.71674</v>
      </c>
      <c r="I130" s="58" t="n">
        <f aca="false">H130/H136</f>
        <v>0.245859443204836</v>
      </c>
      <c r="J130" s="57" t="n">
        <f aca="false">J27*B97</f>
        <v>74.79738</v>
      </c>
      <c r="K130" s="58" t="n">
        <f aca="false">J130/J136</f>
        <v>0.0366398084850462</v>
      </c>
    </row>
    <row r="131" customFormat="false" ht="15" hidden="false" customHeight="false" outlineLevel="0" collapsed="false">
      <c r="A131" s="54" t="s">
        <v>41</v>
      </c>
      <c r="B131" s="57" t="n">
        <f aca="false">B28*B98</f>
        <v>38.7159000000001</v>
      </c>
      <c r="C131" s="58" t="n">
        <f aca="false">B131/B136</f>
        <v>0.0066978630993521</v>
      </c>
      <c r="D131" s="57" t="n">
        <f aca="false">D28*B98</f>
        <v>38.7159000000001</v>
      </c>
      <c r="E131" s="58" t="n">
        <f aca="false">C131</f>
        <v>0.0066978630993521</v>
      </c>
      <c r="F131" s="57" t="n">
        <f aca="false">F28*B98</f>
        <v>25.8106</v>
      </c>
      <c r="G131" s="58" t="n">
        <f aca="false">F131/F136</f>
        <v>0.0066978630993521</v>
      </c>
      <c r="H131" s="57" t="n">
        <f aca="false">H28*B98</f>
        <v>12.9053</v>
      </c>
      <c r="I131" s="58" t="n">
        <f aca="false">H131/H136</f>
        <v>0.0066978630993521</v>
      </c>
      <c r="J131" s="57" t="n">
        <f aca="false">J28*B98</f>
        <v>0</v>
      </c>
      <c r="K131" s="58" t="n">
        <f aca="false">J131/J136</f>
        <v>0</v>
      </c>
    </row>
    <row r="132" customFormat="false" ht="15" hidden="false" customHeight="false" outlineLevel="0" collapsed="false">
      <c r="A132" s="54" t="s">
        <v>43</v>
      </c>
      <c r="B132" s="57" t="n">
        <f aca="false">B29*B99</f>
        <v>1122.2</v>
      </c>
      <c r="C132" s="58" t="n">
        <f aca="false">B132/B136</f>
        <v>0.19414095940151</v>
      </c>
      <c r="D132" s="57" t="n">
        <f aca="false">D29*B99</f>
        <v>1122.2</v>
      </c>
      <c r="E132" s="58" t="n">
        <f aca="false">C132</f>
        <v>0.19414095940151</v>
      </c>
      <c r="F132" s="57" t="n">
        <f aca="false">F29*B99</f>
        <v>748.133333333333</v>
      </c>
      <c r="G132" s="58" t="n">
        <f aca="false">F132/F136</f>
        <v>0.19414095940151</v>
      </c>
      <c r="H132" s="57" t="n">
        <f aca="false">H29*B99</f>
        <v>374.066666666667</v>
      </c>
      <c r="I132" s="58" t="n">
        <f aca="false">H132/H136</f>
        <v>0.19414095940151</v>
      </c>
      <c r="J132" s="57" t="n">
        <f aca="false">J29*B99</f>
        <v>0</v>
      </c>
      <c r="K132" s="58" t="n">
        <f aca="false">J132/J136</f>
        <v>0</v>
      </c>
    </row>
    <row r="133" customFormat="false" ht="15" hidden="false" customHeight="false" outlineLevel="0" collapsed="false">
      <c r="A133" s="54" t="s">
        <v>42</v>
      </c>
      <c r="B133" s="57" t="n">
        <f aca="false">B30*B100</f>
        <v>3198.27</v>
      </c>
      <c r="C133" s="58" t="n">
        <f aca="false">B133/B136</f>
        <v>0.553301734294303</v>
      </c>
      <c r="D133" s="57" t="n">
        <f aca="false">D30*B100</f>
        <v>3198.27</v>
      </c>
      <c r="E133" s="58" t="n">
        <f aca="false">C133</f>
        <v>0.553301734294303</v>
      </c>
      <c r="F133" s="57" t="n">
        <f aca="false">F30*B100</f>
        <v>2132.18</v>
      </c>
      <c r="G133" s="58" t="n">
        <f aca="false">F133/F136</f>
        <v>0.553301734294303</v>
      </c>
      <c r="H133" s="57" t="n">
        <f aca="false">H30*B100</f>
        <v>1066.09</v>
      </c>
      <c r="I133" s="58" t="n">
        <f aca="false">H133/H136</f>
        <v>0.553301734294303</v>
      </c>
      <c r="J133" s="57" t="n">
        <f aca="false">J30*B100</f>
        <v>0</v>
      </c>
      <c r="K133" s="58" t="n">
        <f aca="false">J133/J136</f>
        <v>0</v>
      </c>
    </row>
    <row r="134" customFormat="false" ht="15" hidden="false" customHeight="false" outlineLevel="0" collapsed="false">
      <c r="A134" s="54" t="s">
        <v>46</v>
      </c>
      <c r="B134" s="57" t="n">
        <f aca="false">B31*B101</f>
        <v>0</v>
      </c>
      <c r="C134" s="58" t="n">
        <f aca="false">B134/B136</f>
        <v>0</v>
      </c>
      <c r="D134" s="57" t="n">
        <f aca="false">D31*B101</f>
        <v>0</v>
      </c>
      <c r="E134" s="58" t="n">
        <f aca="false">C134</f>
        <v>0</v>
      </c>
      <c r="F134" s="57" t="n">
        <f aca="false">F31*B101</f>
        <v>0</v>
      </c>
      <c r="G134" s="58" t="n">
        <f aca="false">F134/F136</f>
        <v>0</v>
      </c>
      <c r="H134" s="57" t="n">
        <f aca="false">H31*B101</f>
        <v>0</v>
      </c>
      <c r="I134" s="58" t="n">
        <f aca="false">H134/H136</f>
        <v>0</v>
      </c>
      <c r="J134" s="57" t="n">
        <f aca="false">J31*B101</f>
        <v>1966.6265</v>
      </c>
      <c r="K134" s="58" t="n">
        <f aca="false">J134/J136</f>
        <v>0.963360191514954</v>
      </c>
    </row>
    <row r="135" customFormat="false" ht="15" hidden="false" customHeight="false" outlineLevel="0" collapsed="false">
      <c r="A135" s="54" t="s">
        <v>50</v>
      </c>
      <c r="B135" s="57" t="n">
        <f aca="false">B32*B102</f>
        <v>0</v>
      </c>
      <c r="C135" s="58" t="n">
        <f aca="false">B135/B136</f>
        <v>0</v>
      </c>
      <c r="D135" s="57" t="n">
        <f aca="false">D32*B102</f>
        <v>0</v>
      </c>
      <c r="E135" s="58" t="n">
        <f aca="false">C135</f>
        <v>0</v>
      </c>
      <c r="F135" s="57" t="n">
        <f aca="false">F32*B102</f>
        <v>0</v>
      </c>
      <c r="G135" s="58" t="n">
        <f aca="false">F135/F136</f>
        <v>0</v>
      </c>
      <c r="H135" s="57" t="n">
        <f aca="false">H32*B102</f>
        <v>0</v>
      </c>
      <c r="I135" s="58" t="n">
        <f aca="false">H135/H136</f>
        <v>0</v>
      </c>
      <c r="J135" s="57" t="n">
        <f aca="false">J32*B102</f>
        <v>0</v>
      </c>
      <c r="K135" s="58" t="n">
        <f aca="false">J135/J136</f>
        <v>0</v>
      </c>
    </row>
    <row r="136" customFormat="false" ht="15" hidden="false" customHeight="false" outlineLevel="0" collapsed="false">
      <c r="A136" s="54" t="s">
        <v>53</v>
      </c>
      <c r="B136" s="61" t="n">
        <f aca="false">SUM(B130:B135)</f>
        <v>5780.33612</v>
      </c>
      <c r="C136" s="62" t="n">
        <f aca="false">SUM(C130:C135)</f>
        <v>1</v>
      </c>
      <c r="D136" s="61" t="n">
        <f aca="false">SUM(D130:D135)</f>
        <v>5780.33612</v>
      </c>
      <c r="E136" s="62" t="n">
        <f aca="false">SUM(E130:E135)</f>
        <v>1</v>
      </c>
      <c r="F136" s="61" t="n">
        <f aca="false">SUM(F130:F135)</f>
        <v>3853.55741333333</v>
      </c>
      <c r="G136" s="62" t="n">
        <f aca="false">SUM(G130:G135)</f>
        <v>1</v>
      </c>
      <c r="H136" s="61" t="n">
        <f aca="false">SUM(H130:H135)</f>
        <v>1926.77870666667</v>
      </c>
      <c r="I136" s="62" t="n">
        <f aca="false">SUM(I130:I135)</f>
        <v>1</v>
      </c>
      <c r="J136" s="61" t="n">
        <f aca="false">SUM(J130:J135)</f>
        <v>2041.42388</v>
      </c>
      <c r="K136" s="62" t="n">
        <f aca="false">SUM(K130:K135)</f>
        <v>1</v>
      </c>
    </row>
    <row r="138" customFormat="false" ht="15" hidden="false" customHeight="false" outlineLevel="0" collapsed="false">
      <c r="A138" s="54" t="s">
        <v>6</v>
      </c>
      <c r="B138" s="45" t="n">
        <v>16</v>
      </c>
      <c r="C138" s="45"/>
      <c r="D138" s="45" t="n">
        <v>17</v>
      </c>
      <c r="E138" s="45"/>
      <c r="F138" s="45" t="n">
        <v>19</v>
      </c>
      <c r="G138" s="45"/>
      <c r="H138" s="45" t="n">
        <v>20</v>
      </c>
      <c r="I138" s="45"/>
      <c r="J138" s="45" t="n">
        <v>21</v>
      </c>
      <c r="K138" s="45"/>
    </row>
    <row r="139" customFormat="false" ht="15" hidden="false" customHeight="false" outlineLevel="0" collapsed="false">
      <c r="A139" s="54" t="s">
        <v>30</v>
      </c>
      <c r="B139" s="55" t="s">
        <v>108</v>
      </c>
      <c r="C139" s="56" t="s">
        <v>109</v>
      </c>
      <c r="D139" s="55" t="s">
        <v>108</v>
      </c>
      <c r="E139" s="56" t="s">
        <v>109</v>
      </c>
      <c r="F139" s="55" t="s">
        <v>108</v>
      </c>
      <c r="G139" s="56" t="s">
        <v>109</v>
      </c>
      <c r="H139" s="55" t="s">
        <v>108</v>
      </c>
      <c r="I139" s="56" t="s">
        <v>109</v>
      </c>
      <c r="J139" s="55" t="s">
        <v>108</v>
      </c>
      <c r="K139" s="56" t="s">
        <v>109</v>
      </c>
    </row>
    <row r="140" customFormat="false" ht="15" hidden="false" customHeight="false" outlineLevel="0" collapsed="false">
      <c r="A140" s="54" t="s">
        <v>38</v>
      </c>
      <c r="B140" s="57" t="n">
        <f aca="false">B37*B97</f>
        <v>37.2789405</v>
      </c>
      <c r="C140" s="60" t="n">
        <v>0.95</v>
      </c>
      <c r="D140" s="57" t="n">
        <f aca="false">D37*B97</f>
        <v>37.5184395</v>
      </c>
      <c r="E140" s="60" t="n">
        <v>0.05</v>
      </c>
      <c r="F140" s="57" t="n">
        <f aca="false">F37*B97</f>
        <v>0</v>
      </c>
      <c r="G140" s="58" t="n">
        <f aca="false">F140/F146</f>
        <v>0</v>
      </c>
      <c r="H140" s="57" t="n">
        <f aca="false">H37*B97</f>
        <v>0</v>
      </c>
      <c r="I140" s="58" t="n">
        <f aca="false">H140/H146</f>
        <v>0</v>
      </c>
      <c r="J140" s="57" t="n">
        <f aca="false">J37*B97</f>
        <v>473.71674</v>
      </c>
      <c r="K140" s="58" t="n">
        <f aca="false">J140/J146</f>
        <v>0.640031961646025</v>
      </c>
    </row>
    <row r="141" customFormat="false" ht="15" hidden="false" customHeight="false" outlineLevel="0" collapsed="false">
      <c r="A141" s="54" t="s">
        <v>41</v>
      </c>
      <c r="B141" s="57" t="n">
        <f aca="false">B38*B98</f>
        <v>0</v>
      </c>
      <c r="C141" s="60" t="n">
        <v>0</v>
      </c>
      <c r="D141" s="57" t="n">
        <v>0</v>
      </c>
      <c r="E141" s="60" t="n">
        <v>0</v>
      </c>
      <c r="F141" s="57" t="n">
        <f aca="false">F38*B98</f>
        <v>0</v>
      </c>
      <c r="G141" s="58" t="n">
        <f aca="false">F141/F146</f>
        <v>0</v>
      </c>
      <c r="H141" s="57" t="n">
        <f aca="false">H38*B98</f>
        <v>12.9053</v>
      </c>
      <c r="I141" s="58" t="n">
        <f aca="false">H141/H146</f>
        <v>0.0088814519243146</v>
      </c>
      <c r="J141" s="57" t="n">
        <f aca="false">J38*B98</f>
        <v>0</v>
      </c>
      <c r="K141" s="58" t="n">
        <f aca="false">J141/J146</f>
        <v>0</v>
      </c>
    </row>
    <row r="142" customFormat="false" ht="15" hidden="false" customHeight="false" outlineLevel="0" collapsed="false">
      <c r="A142" s="54" t="s">
        <v>43</v>
      </c>
      <c r="B142" s="57" t="n">
        <f aca="false">B39*B99</f>
        <v>0</v>
      </c>
      <c r="C142" s="60" t="n">
        <v>0</v>
      </c>
      <c r="D142" s="57" t="n">
        <v>0</v>
      </c>
      <c r="E142" s="60" t="n">
        <v>0</v>
      </c>
      <c r="F142" s="57" t="n">
        <f aca="false">F39*B99</f>
        <v>0</v>
      </c>
      <c r="G142" s="58" t="n">
        <f aca="false">F142/F146</f>
        <v>0</v>
      </c>
      <c r="H142" s="57" t="n">
        <f aca="false">H39*B99</f>
        <v>374.066666666667</v>
      </c>
      <c r="I142" s="58" t="n">
        <f aca="false">H142/H146</f>
        <v>0.257433389110568</v>
      </c>
      <c r="J142" s="57" t="n">
        <f aca="false">J39*B99</f>
        <v>0</v>
      </c>
      <c r="K142" s="58" t="n">
        <f aca="false">J142/J146</f>
        <v>0</v>
      </c>
    </row>
    <row r="143" customFormat="false" ht="15" hidden="false" customHeight="false" outlineLevel="0" collapsed="false">
      <c r="A143" s="54" t="s">
        <v>42</v>
      </c>
      <c r="B143" s="57" t="n">
        <f aca="false">B40*B100</f>
        <v>0</v>
      </c>
      <c r="C143" s="60" t="n">
        <v>0</v>
      </c>
      <c r="D143" s="57" t="n">
        <v>0</v>
      </c>
      <c r="E143" s="60" t="n">
        <v>0</v>
      </c>
      <c r="F143" s="57" t="n">
        <f aca="false">F40*B100</f>
        <v>0</v>
      </c>
      <c r="G143" s="58" t="n">
        <f aca="false">F143/F146</f>
        <v>0</v>
      </c>
      <c r="H143" s="57" t="n">
        <f aca="false">H40*B100</f>
        <v>1066.09</v>
      </c>
      <c r="I143" s="58" t="n">
        <f aca="false">H143/H146</f>
        <v>0.733685158965118</v>
      </c>
      <c r="J143" s="57" t="n">
        <f aca="false">J40*B100</f>
        <v>0</v>
      </c>
      <c r="K143" s="58" t="n">
        <f aca="false">J143/J146</f>
        <v>0</v>
      </c>
    </row>
    <row r="144" customFormat="false" ht="15" hidden="false" customHeight="false" outlineLevel="0" collapsed="false">
      <c r="A144" s="54" t="s">
        <v>46</v>
      </c>
      <c r="B144" s="57" t="n">
        <f aca="false">B41*B101</f>
        <v>5.398085625</v>
      </c>
      <c r="C144" s="60" t="n">
        <v>0.05</v>
      </c>
      <c r="D144" s="57" t="n">
        <f aca="false">22.2488*B101</f>
        <v>1961.23172</v>
      </c>
      <c r="E144" s="60" t="n">
        <v>0.95</v>
      </c>
      <c r="F144" s="57" t="n">
        <f aca="false">F41*B101</f>
        <v>0</v>
      </c>
      <c r="G144" s="58" t="n">
        <f aca="false">F144/F146</f>
        <v>0</v>
      </c>
      <c r="H144" s="57" t="n">
        <f aca="false">H41*B101</f>
        <v>0</v>
      </c>
      <c r="I144" s="58" t="n">
        <f aca="false">H144/H146</f>
        <v>0</v>
      </c>
      <c r="J144" s="57" t="n">
        <f aca="false">J41*B101</f>
        <v>0</v>
      </c>
      <c r="K144" s="58" t="n">
        <f aca="false">J144/J146</f>
        <v>0</v>
      </c>
    </row>
    <row r="145" customFormat="false" ht="15" hidden="false" customHeight="false" outlineLevel="0" collapsed="false">
      <c r="A145" s="54" t="s">
        <v>50</v>
      </c>
      <c r="B145" s="57" t="n">
        <f aca="false">B42*B102</f>
        <v>0</v>
      </c>
      <c r="C145" s="60" t="n">
        <v>0</v>
      </c>
      <c r="D145" s="57" t="n">
        <v>0</v>
      </c>
      <c r="E145" s="60" t="n">
        <v>0</v>
      </c>
      <c r="F145" s="57" t="n">
        <f aca="false">F42*B102</f>
        <v>266.428703333333</v>
      </c>
      <c r="G145" s="58" t="n">
        <f aca="false">F145/F146</f>
        <v>1</v>
      </c>
      <c r="H145" s="57" t="n">
        <f aca="false">H42*B102</f>
        <v>0</v>
      </c>
      <c r="I145" s="58" t="n">
        <f aca="false">H145/H146</f>
        <v>0</v>
      </c>
      <c r="J145" s="57" t="n">
        <f aca="false">J42*B102</f>
        <v>266.428703333333</v>
      </c>
      <c r="K145" s="58" t="n">
        <f aca="false">J145/J146</f>
        <v>0.359968038353975</v>
      </c>
    </row>
    <row r="146" customFormat="false" ht="15" hidden="false" customHeight="false" outlineLevel="0" collapsed="false">
      <c r="A146" s="54" t="s">
        <v>53</v>
      </c>
      <c r="B146" s="61" t="n">
        <f aca="false">SUM(B140:B145)</f>
        <v>42.677026125</v>
      </c>
      <c r="C146" s="64" t="n">
        <f aca="false">SUM(C140:C145)</f>
        <v>1</v>
      </c>
      <c r="D146" s="61" t="n">
        <f aca="false">SUM(D140:D145)</f>
        <v>1998.7501595</v>
      </c>
      <c r="E146" s="64" t="n">
        <f aca="false">SUM(E140:E145)</f>
        <v>1</v>
      </c>
      <c r="F146" s="61" t="n">
        <f aca="false">SUM(F140:F145)</f>
        <v>266.428703333333</v>
      </c>
      <c r="G146" s="62" t="n">
        <f aca="false">SUM(G140:G145)</f>
        <v>1</v>
      </c>
      <c r="H146" s="61" t="n">
        <f aca="false">SUM(H140:H145)</f>
        <v>1453.06196666667</v>
      </c>
      <c r="I146" s="62" t="n">
        <f aca="false">SUM(I140:I145)</f>
        <v>1</v>
      </c>
      <c r="J146" s="61" t="n">
        <f aca="false">SUM(J140:J145)</f>
        <v>740.145443333334</v>
      </c>
      <c r="K146" s="62" t="n">
        <f aca="false">SUM(K140:K145)</f>
        <v>1</v>
      </c>
    </row>
    <row r="148" customFormat="false" ht="15" hidden="false" customHeight="false" outlineLevel="0" collapsed="false">
      <c r="A148" s="54" t="s">
        <v>6</v>
      </c>
      <c r="B148" s="45" t="n">
        <v>22</v>
      </c>
      <c r="C148" s="45"/>
      <c r="D148" s="45" t="n">
        <v>23</v>
      </c>
      <c r="E148" s="45"/>
      <c r="F148" s="45" t="n">
        <v>24</v>
      </c>
      <c r="G148" s="45"/>
      <c r="H148" s="45" t="n">
        <v>25</v>
      </c>
      <c r="I148" s="45"/>
      <c r="J148" s="45" t="n">
        <v>26</v>
      </c>
      <c r="K148" s="45"/>
    </row>
    <row r="149" customFormat="false" ht="15" hidden="false" customHeight="false" outlineLevel="0" collapsed="false">
      <c r="A149" s="54" t="s">
        <v>30</v>
      </c>
      <c r="B149" s="55" t="s">
        <v>108</v>
      </c>
      <c r="C149" s="56" t="s">
        <v>109</v>
      </c>
      <c r="D149" s="55" t="s">
        <v>108</v>
      </c>
      <c r="E149" s="56" t="s">
        <v>109</v>
      </c>
      <c r="F149" s="55" t="s">
        <v>108</v>
      </c>
      <c r="G149" s="56" t="s">
        <v>109</v>
      </c>
      <c r="H149" s="55" t="s">
        <v>108</v>
      </c>
      <c r="I149" s="56" t="s">
        <v>109</v>
      </c>
      <c r="J149" s="55" t="s">
        <v>108</v>
      </c>
      <c r="K149" s="56" t="s">
        <v>109</v>
      </c>
    </row>
    <row r="150" customFormat="false" ht="15" hidden="false" customHeight="false" outlineLevel="0" collapsed="false">
      <c r="A150" s="54" t="s">
        <v>38</v>
      </c>
      <c r="B150" s="57" t="n">
        <f aca="false">B47*B97</f>
        <v>473.71674</v>
      </c>
      <c r="C150" s="58" t="n">
        <f aca="false">K140</f>
        <v>0.640031961646025</v>
      </c>
      <c r="D150" s="57" t="n">
        <f aca="false">D47*B97</f>
        <v>378.973392</v>
      </c>
      <c r="E150" s="58" t="n">
        <f aca="false">D150/D156</f>
        <v>1</v>
      </c>
      <c r="F150" s="57" t="n">
        <f aca="false">F47*B97</f>
        <v>378.973392</v>
      </c>
      <c r="G150" s="58" t="n">
        <f aca="false">E150</f>
        <v>1</v>
      </c>
      <c r="H150" s="57" t="n">
        <f aca="false">H47*B97</f>
        <v>126.324464</v>
      </c>
      <c r="I150" s="58" t="n">
        <f aca="false">H150/H156</f>
        <v>1</v>
      </c>
      <c r="J150" s="57" t="n">
        <f aca="false">J47*B97</f>
        <v>252.648928</v>
      </c>
      <c r="K150" s="58" t="n">
        <f aca="false">J150/J156</f>
        <v>1</v>
      </c>
    </row>
    <row r="151" customFormat="false" ht="15" hidden="false" customHeight="false" outlineLevel="0" collapsed="false">
      <c r="A151" s="54" t="s">
        <v>41</v>
      </c>
      <c r="B151" s="57" t="n">
        <f aca="false">B48*B98</f>
        <v>0</v>
      </c>
      <c r="C151" s="58" t="n">
        <f aca="false">K141</f>
        <v>0</v>
      </c>
      <c r="D151" s="57" t="n">
        <f aca="false">D48*B98</f>
        <v>0</v>
      </c>
      <c r="E151" s="58" t="n">
        <f aca="false">D151/D156</f>
        <v>0</v>
      </c>
      <c r="F151" s="57" t="n">
        <f aca="false">F48*B98</f>
        <v>0</v>
      </c>
      <c r="G151" s="58" t="n">
        <f aca="false">E151</f>
        <v>0</v>
      </c>
      <c r="H151" s="57" t="n">
        <f aca="false">H48*B98</f>
        <v>0</v>
      </c>
      <c r="I151" s="58" t="n">
        <f aca="false">H151/H156</f>
        <v>0</v>
      </c>
      <c r="J151" s="57" t="n">
        <f aca="false">J48*B98</f>
        <v>0</v>
      </c>
      <c r="K151" s="58" t="n">
        <f aca="false">J151/J156</f>
        <v>0</v>
      </c>
    </row>
    <row r="152" customFormat="false" ht="15" hidden="false" customHeight="false" outlineLevel="0" collapsed="false">
      <c r="A152" s="54" t="s">
        <v>43</v>
      </c>
      <c r="B152" s="57" t="n">
        <f aca="false">B49*B99</f>
        <v>0</v>
      </c>
      <c r="C152" s="58" t="n">
        <f aca="false">K142</f>
        <v>0</v>
      </c>
      <c r="D152" s="57" t="n">
        <f aca="false">D49*B99</f>
        <v>0</v>
      </c>
      <c r="E152" s="58" t="n">
        <f aca="false">D152/D156</f>
        <v>0</v>
      </c>
      <c r="F152" s="57" t="n">
        <f aca="false">F49*B99</f>
        <v>0</v>
      </c>
      <c r="G152" s="58" t="n">
        <f aca="false">E152</f>
        <v>0</v>
      </c>
      <c r="H152" s="57" t="n">
        <f aca="false">H49*B99</f>
        <v>0</v>
      </c>
      <c r="I152" s="58" t="n">
        <f aca="false">H152/H156</f>
        <v>0</v>
      </c>
      <c r="J152" s="57" t="n">
        <f aca="false">J49*B99</f>
        <v>0</v>
      </c>
      <c r="K152" s="58" t="n">
        <f aca="false">J152/J156</f>
        <v>0</v>
      </c>
    </row>
    <row r="153" customFormat="false" ht="15" hidden="false" customHeight="false" outlineLevel="0" collapsed="false">
      <c r="A153" s="54" t="s">
        <v>42</v>
      </c>
      <c r="B153" s="57" t="n">
        <f aca="false">B50*B100</f>
        <v>0</v>
      </c>
      <c r="C153" s="58" t="n">
        <f aca="false">K143</f>
        <v>0</v>
      </c>
      <c r="D153" s="57" t="n">
        <f aca="false">D50*B100</f>
        <v>0</v>
      </c>
      <c r="E153" s="58" t="n">
        <f aca="false">D153/D156</f>
        <v>0</v>
      </c>
      <c r="F153" s="57" t="n">
        <f aca="false">F50*B100</f>
        <v>0</v>
      </c>
      <c r="G153" s="58" t="n">
        <f aca="false">E153</f>
        <v>0</v>
      </c>
      <c r="H153" s="57" t="n">
        <f aca="false">H50*B100</f>
        <v>0</v>
      </c>
      <c r="I153" s="58" t="n">
        <f aca="false">H153/H156</f>
        <v>0</v>
      </c>
      <c r="J153" s="57" t="n">
        <f aca="false">J50*B100</f>
        <v>0</v>
      </c>
      <c r="K153" s="58" t="n">
        <f aca="false">J153/J156</f>
        <v>0</v>
      </c>
    </row>
    <row r="154" customFormat="false" ht="15" hidden="false" customHeight="false" outlineLevel="0" collapsed="false">
      <c r="A154" s="54" t="s">
        <v>46</v>
      </c>
      <c r="B154" s="57" t="n">
        <f aca="false">B51*B101</f>
        <v>0</v>
      </c>
      <c r="C154" s="58" t="n">
        <f aca="false">K144</f>
        <v>0</v>
      </c>
      <c r="D154" s="57" t="n">
        <f aca="false">D51*B101</f>
        <v>0</v>
      </c>
      <c r="E154" s="58" t="n">
        <f aca="false">D154/D156</f>
        <v>0</v>
      </c>
      <c r="F154" s="57" t="n">
        <f aca="false">F51*B101</f>
        <v>0</v>
      </c>
      <c r="G154" s="58" t="n">
        <f aca="false">E154</f>
        <v>0</v>
      </c>
      <c r="H154" s="57" t="n">
        <f aca="false">H51*B101</f>
        <v>0</v>
      </c>
      <c r="I154" s="58" t="n">
        <f aca="false">H154/H156</f>
        <v>0</v>
      </c>
      <c r="J154" s="57" t="n">
        <f aca="false">J51*B101</f>
        <v>0</v>
      </c>
      <c r="K154" s="58" t="n">
        <f aca="false">J154/J156</f>
        <v>0</v>
      </c>
    </row>
    <row r="155" customFormat="false" ht="15" hidden="false" customHeight="false" outlineLevel="0" collapsed="false">
      <c r="A155" s="54" t="s">
        <v>50</v>
      </c>
      <c r="B155" s="57" t="n">
        <f aca="false">B52*B102</f>
        <v>266.428703333333</v>
      </c>
      <c r="C155" s="58" t="n">
        <f aca="false">K145</f>
        <v>0.359968038353975</v>
      </c>
      <c r="D155" s="57" t="n">
        <f aca="false">D52*B102</f>
        <v>0</v>
      </c>
      <c r="E155" s="58" t="n">
        <f aca="false">D155/D156</f>
        <v>0</v>
      </c>
      <c r="F155" s="57" t="n">
        <f aca="false">F52*B102</f>
        <v>0</v>
      </c>
      <c r="G155" s="58" t="n">
        <f aca="false">E155</f>
        <v>0</v>
      </c>
      <c r="H155" s="57" t="n">
        <f aca="false">H52*B102</f>
        <v>0</v>
      </c>
      <c r="I155" s="58" t="n">
        <f aca="false">H155/H156</f>
        <v>0</v>
      </c>
      <c r="J155" s="57" t="n">
        <f aca="false">J52*B102</f>
        <v>0</v>
      </c>
      <c r="K155" s="58" t="n">
        <f aca="false">J155/J156</f>
        <v>0</v>
      </c>
    </row>
    <row r="156" customFormat="false" ht="15" hidden="false" customHeight="false" outlineLevel="0" collapsed="false">
      <c r="A156" s="54" t="s">
        <v>53</v>
      </c>
      <c r="B156" s="61" t="n">
        <f aca="false">SUM(B150:B155)</f>
        <v>740.145443333334</v>
      </c>
      <c r="C156" s="62" t="n">
        <f aca="false">SUM(C150:C155)</f>
        <v>1</v>
      </c>
      <c r="D156" s="61" t="n">
        <f aca="false">SUM(D150:D155)</f>
        <v>378.973392</v>
      </c>
      <c r="E156" s="62" t="n">
        <f aca="false">SUM(E150:E155)</f>
        <v>1</v>
      </c>
      <c r="F156" s="61" t="n">
        <f aca="false">SUM(F150:F155)</f>
        <v>378.973392</v>
      </c>
      <c r="G156" s="62" t="n">
        <f aca="false">SUM(G150:G155)</f>
        <v>1</v>
      </c>
      <c r="H156" s="61" t="n">
        <f aca="false">SUM(H150:H155)</f>
        <v>126.324464</v>
      </c>
      <c r="I156" s="62" t="n">
        <f aca="false">SUM(I150:I155)</f>
        <v>1</v>
      </c>
      <c r="J156" s="61" t="n">
        <f aca="false">SUM(J150:J155)</f>
        <v>252.648928</v>
      </c>
      <c r="K156" s="62" t="n">
        <f aca="false">SUM(K150:K155)</f>
        <v>1</v>
      </c>
    </row>
    <row r="158" customFormat="false" ht="15" hidden="false" customHeight="false" outlineLevel="0" collapsed="false">
      <c r="A158" s="54" t="s">
        <v>6</v>
      </c>
      <c r="B158" s="45" t="n">
        <v>27</v>
      </c>
      <c r="C158" s="45"/>
      <c r="D158" s="45" t="n">
        <v>28</v>
      </c>
      <c r="E158" s="45"/>
      <c r="F158" s="45" t="n">
        <v>29</v>
      </c>
      <c r="G158" s="45"/>
      <c r="H158" s="45" t="n">
        <v>30</v>
      </c>
      <c r="I158" s="45"/>
      <c r="J158" s="45"/>
      <c r="K158" s="45"/>
    </row>
    <row r="159" customFormat="false" ht="15" hidden="false" customHeight="false" outlineLevel="0" collapsed="false">
      <c r="A159" s="54" t="s">
        <v>30</v>
      </c>
      <c r="B159" s="55" t="s">
        <v>108</v>
      </c>
      <c r="C159" s="56" t="s">
        <v>109</v>
      </c>
      <c r="D159" s="55" t="s">
        <v>108</v>
      </c>
      <c r="E159" s="56" t="s">
        <v>109</v>
      </c>
      <c r="F159" s="55" t="s">
        <v>108</v>
      </c>
      <c r="G159" s="56" t="s">
        <v>109</v>
      </c>
      <c r="H159" s="55" t="s">
        <v>108</v>
      </c>
      <c r="I159" s="56" t="s">
        <v>109</v>
      </c>
      <c r="J159" s="55"/>
      <c r="K159" s="56"/>
    </row>
    <row r="160" customFormat="false" ht="15" hidden="false" customHeight="false" outlineLevel="0" collapsed="false">
      <c r="A160" s="54" t="s">
        <v>38</v>
      </c>
      <c r="B160" s="57" t="n">
        <f aca="false">B57*B97</f>
        <v>94.743348</v>
      </c>
      <c r="C160" s="58" t="n">
        <f aca="false">B160/B166</f>
        <v>0.26232192565908</v>
      </c>
      <c r="D160" s="57" t="n">
        <f aca="false">D57*B97</f>
        <v>70.7417305984001</v>
      </c>
      <c r="E160" s="60" t="n">
        <v>0.8</v>
      </c>
      <c r="F160" s="57" t="n">
        <f aca="false">F57*B97</f>
        <v>24.0016494416</v>
      </c>
      <c r="G160" s="60" t="n">
        <v>0.05</v>
      </c>
      <c r="H160" s="57" t="n">
        <f aca="false">H57*B97</f>
        <v>252.648928</v>
      </c>
      <c r="I160" s="58" t="n">
        <f aca="false">H160/H166</f>
        <v>1</v>
      </c>
      <c r="J160" s="57"/>
      <c r="K160" s="58"/>
    </row>
    <row r="161" customFormat="false" ht="15" hidden="false" customHeight="false" outlineLevel="0" collapsed="false">
      <c r="A161" s="54" t="s">
        <v>41</v>
      </c>
      <c r="B161" s="57" t="n">
        <f aca="false">B58*B98</f>
        <v>0</v>
      </c>
      <c r="C161" s="58" t="n">
        <f aca="false">B161/B166</f>
        <v>0</v>
      </c>
      <c r="D161" s="57" t="n">
        <f aca="false">D58*B98</f>
        <v>0</v>
      </c>
      <c r="E161" s="60" t="n">
        <v>0</v>
      </c>
      <c r="F161" s="57" t="n">
        <f aca="false">F58*B98</f>
        <v>0</v>
      </c>
      <c r="G161" s="60" t="n">
        <v>0</v>
      </c>
      <c r="H161" s="57" t="n">
        <f aca="false">H58*B98</f>
        <v>0</v>
      </c>
      <c r="I161" s="58" t="n">
        <f aca="false">H161/H166</f>
        <v>0</v>
      </c>
      <c r="J161" s="57"/>
      <c r="K161" s="58"/>
    </row>
    <row r="162" customFormat="false" ht="15" hidden="false" customHeight="false" outlineLevel="0" collapsed="false">
      <c r="A162" s="54" t="s">
        <v>43</v>
      </c>
      <c r="B162" s="57" t="n">
        <f aca="false">B59*B99</f>
        <v>0</v>
      </c>
      <c r="C162" s="58" t="n">
        <f aca="false">B162/B166</f>
        <v>0</v>
      </c>
      <c r="D162" s="57" t="n">
        <f aca="false">D59*B99</f>
        <v>0</v>
      </c>
      <c r="E162" s="60" t="n">
        <v>0</v>
      </c>
      <c r="F162" s="57" t="n">
        <f aca="false">F59*B99</f>
        <v>0</v>
      </c>
      <c r="G162" s="60" t="n">
        <v>0</v>
      </c>
      <c r="H162" s="57" t="n">
        <f aca="false">H59*B99</f>
        <v>0</v>
      </c>
      <c r="I162" s="58" t="n">
        <f aca="false">H162/H166</f>
        <v>0</v>
      </c>
      <c r="J162" s="57"/>
      <c r="K162" s="58"/>
    </row>
    <row r="163" customFormat="false" ht="15" hidden="false" customHeight="false" outlineLevel="0" collapsed="false">
      <c r="A163" s="54" t="s">
        <v>42</v>
      </c>
      <c r="B163" s="57" t="n">
        <f aca="false">B60*B100</f>
        <v>0</v>
      </c>
      <c r="C163" s="58" t="n">
        <f aca="false">B163/B166</f>
        <v>0</v>
      </c>
      <c r="D163" s="57" t="n">
        <f aca="false">D60*B100</f>
        <v>0</v>
      </c>
      <c r="E163" s="60" t="n">
        <v>0</v>
      </c>
      <c r="F163" s="57" t="n">
        <f aca="false">F60*B100</f>
        <v>0</v>
      </c>
      <c r="G163" s="60" t="n">
        <v>0</v>
      </c>
      <c r="H163" s="57" t="n">
        <f aca="false">H60*B100</f>
        <v>0</v>
      </c>
      <c r="I163" s="58" t="n">
        <f aca="false">H163/H166</f>
        <v>0</v>
      </c>
      <c r="J163" s="57"/>
      <c r="K163" s="58"/>
    </row>
    <row r="164" customFormat="false" ht="15" hidden="false" customHeight="false" outlineLevel="0" collapsed="false">
      <c r="A164" s="54" t="s">
        <v>46</v>
      </c>
      <c r="B164" s="57" t="n">
        <f aca="false">B61*B101</f>
        <v>0</v>
      </c>
      <c r="C164" s="58" t="n">
        <f aca="false">B164/B166</f>
        <v>0</v>
      </c>
      <c r="D164" s="57" t="n">
        <f aca="false">D61*B101</f>
        <v>0</v>
      </c>
      <c r="E164" s="60" t="n">
        <v>0</v>
      </c>
      <c r="F164" s="57" t="n">
        <f aca="false">F61*B101</f>
        <v>0</v>
      </c>
      <c r="G164" s="60" t="n">
        <v>0</v>
      </c>
      <c r="H164" s="57" t="n">
        <f aca="false">H61*B101</f>
        <v>0</v>
      </c>
      <c r="I164" s="58" t="n">
        <f aca="false">H164/H166</f>
        <v>0</v>
      </c>
      <c r="J164" s="57"/>
      <c r="K164" s="58"/>
    </row>
    <row r="165" customFormat="false" ht="15" hidden="false" customHeight="false" outlineLevel="0" collapsed="false">
      <c r="A165" s="54" t="s">
        <v>50</v>
      </c>
      <c r="B165" s="57" t="n">
        <f aca="false">B62*B102</f>
        <v>266.428703333333</v>
      </c>
      <c r="C165" s="58" t="n">
        <f aca="false">B165/B166</f>
        <v>0.73767807434092</v>
      </c>
      <c r="D165" s="57" t="n">
        <f aca="false">D62*B102</f>
        <v>9.94667591591112</v>
      </c>
      <c r="E165" s="60" t="n">
        <v>0.2</v>
      </c>
      <c r="F165" s="57" t="n">
        <f aca="false">F62*B102</f>
        <v>256.482045437422</v>
      </c>
      <c r="G165" s="60" t="n">
        <v>0.95</v>
      </c>
      <c r="H165" s="57" t="n">
        <f aca="false">H62*B102</f>
        <v>0</v>
      </c>
      <c r="I165" s="58" t="n">
        <f aca="false">H165/H166</f>
        <v>0</v>
      </c>
      <c r="J165" s="57"/>
      <c r="K165" s="58"/>
    </row>
    <row r="166" customFormat="false" ht="15" hidden="false" customHeight="false" outlineLevel="0" collapsed="false">
      <c r="A166" s="54" t="s">
        <v>53</v>
      </c>
      <c r="B166" s="61" t="n">
        <f aca="false">SUM(B160:B165)</f>
        <v>361.172051333333</v>
      </c>
      <c r="C166" s="62" t="n">
        <f aca="false">SUM(C160:C165)</f>
        <v>1</v>
      </c>
      <c r="D166" s="61" t="n">
        <f aca="false">SUM(D160:D165)</f>
        <v>80.6884065143112</v>
      </c>
      <c r="E166" s="64" t="n">
        <f aca="false">SUM(E160:E165)</f>
        <v>1</v>
      </c>
      <c r="F166" s="61" t="n">
        <f aca="false">SUM(F160:F165)</f>
        <v>280.483694879022</v>
      </c>
      <c r="G166" s="64" t="n">
        <f aca="false">SUM(G160:G165)</f>
        <v>1</v>
      </c>
      <c r="H166" s="61" t="n">
        <f aca="false">SUM(H160:H165)</f>
        <v>252.648928</v>
      </c>
      <c r="I166" s="62" t="n">
        <f aca="false">SUM(I160:I165)</f>
        <v>1</v>
      </c>
      <c r="J166" s="61"/>
      <c r="K166" s="62"/>
    </row>
    <row r="168" customFormat="false" ht="15" hidden="false" customHeight="false" outlineLevel="0" collapsed="false">
      <c r="A168" s="65" t="s">
        <v>110</v>
      </c>
      <c r="B168" s="65"/>
      <c r="C168" s="65"/>
      <c r="D168" s="17" t="n">
        <f aca="false">1/1000*24*365</f>
        <v>8.76</v>
      </c>
    </row>
    <row r="170" customFormat="false" ht="15" hidden="false" customHeight="false" outlineLevel="0" collapsed="false">
      <c r="A170" s="4" t="s">
        <v>111</v>
      </c>
      <c r="B170" s="4"/>
      <c r="C170" s="4"/>
      <c r="D170" s="4"/>
      <c r="E170" s="4"/>
      <c r="F170" s="4"/>
      <c r="G170" s="4"/>
      <c r="H170" s="4"/>
      <c r="I170" s="4"/>
      <c r="J170" s="4"/>
      <c r="K170" s="4"/>
    </row>
    <row r="172" customFormat="false" ht="15" hidden="false" customHeight="false" outlineLevel="0" collapsed="false">
      <c r="A172" s="54" t="s">
        <v>6</v>
      </c>
      <c r="B172" s="45" t="n">
        <v>1</v>
      </c>
      <c r="C172" s="45"/>
      <c r="D172" s="45" t="n">
        <v>2</v>
      </c>
      <c r="E172" s="45"/>
      <c r="F172" s="45" t="n">
        <v>3</v>
      </c>
      <c r="G172" s="45"/>
      <c r="H172" s="45" t="n">
        <v>4</v>
      </c>
      <c r="I172" s="45"/>
      <c r="J172" s="45" t="n">
        <v>5</v>
      </c>
      <c r="K172" s="45"/>
    </row>
    <row r="173" customFormat="false" ht="15" hidden="false" customHeight="false" outlineLevel="0" collapsed="false">
      <c r="A173" s="54" t="s">
        <v>30</v>
      </c>
      <c r="B173" s="55" t="s">
        <v>112</v>
      </c>
      <c r="C173" s="56" t="s">
        <v>109</v>
      </c>
      <c r="D173" s="55" t="s">
        <v>112</v>
      </c>
      <c r="E173" s="56" t="s">
        <v>109</v>
      </c>
      <c r="F173" s="55" t="s">
        <v>112</v>
      </c>
      <c r="G173" s="56" t="s">
        <v>109</v>
      </c>
      <c r="H173" s="55" t="s">
        <v>112</v>
      </c>
      <c r="I173" s="56" t="s">
        <v>109</v>
      </c>
      <c r="J173" s="55" t="s">
        <v>112</v>
      </c>
      <c r="K173" s="56" t="s">
        <v>109</v>
      </c>
    </row>
    <row r="174" customFormat="false" ht="15" hidden="false" customHeight="false" outlineLevel="0" collapsed="false">
      <c r="A174" s="54" t="s">
        <v>38</v>
      </c>
      <c r="B174" s="57" t="n">
        <f aca="false">B110*C97</f>
        <v>19366.2576</v>
      </c>
      <c r="C174" s="58" t="n">
        <f aca="false">B174/B180</f>
        <v>1</v>
      </c>
      <c r="D174" s="59" t="n">
        <f aca="false">D110*C97</f>
        <v>0</v>
      </c>
      <c r="E174" s="60" t="n">
        <v>0</v>
      </c>
      <c r="F174" s="59" t="n">
        <f aca="false">F110*C97</f>
        <v>19366.2576</v>
      </c>
      <c r="G174" s="60" t="n">
        <f aca="false">F174/F180</f>
        <v>1</v>
      </c>
      <c r="H174" s="57" t="n">
        <f aca="false">H110*C97</f>
        <v>19366.2576</v>
      </c>
      <c r="I174" s="58" t="n">
        <f aca="false">G174</f>
        <v>1</v>
      </c>
      <c r="J174" s="57" t="n">
        <f aca="false">J110*C97</f>
        <v>0</v>
      </c>
      <c r="K174" s="58" t="n">
        <f aca="false">E174</f>
        <v>0</v>
      </c>
    </row>
    <row r="175" customFormat="false" ht="15" hidden="false" customHeight="false" outlineLevel="0" collapsed="false">
      <c r="A175" s="54" t="s">
        <v>41</v>
      </c>
      <c r="B175" s="57" t="n">
        <f aca="false">B111*C98</f>
        <v>0</v>
      </c>
      <c r="C175" s="58" t="n">
        <f aca="false">B175/B180</f>
        <v>0</v>
      </c>
      <c r="D175" s="59" t="n">
        <f aca="false">D111*C98</f>
        <v>11305.0428</v>
      </c>
      <c r="E175" s="60" t="n">
        <v>0.23</v>
      </c>
      <c r="F175" s="59" t="n">
        <f aca="false">F72*B162</f>
        <v>0</v>
      </c>
      <c r="G175" s="60" t="n">
        <f aca="false">F175/F180</f>
        <v>0</v>
      </c>
      <c r="H175" s="57" t="n">
        <f aca="false">H111*C98</f>
        <v>0</v>
      </c>
      <c r="I175" s="58" t="n">
        <f aca="false">E175</f>
        <v>0.23</v>
      </c>
      <c r="J175" s="57" t="n">
        <f aca="false">J111*C98</f>
        <v>11305.0428</v>
      </c>
      <c r="K175" s="58" t="n">
        <f aca="false">E175</f>
        <v>0.23</v>
      </c>
    </row>
    <row r="176" customFormat="false" ht="15" hidden="false" customHeight="false" outlineLevel="0" collapsed="false">
      <c r="A176" s="54" t="s">
        <v>43</v>
      </c>
      <c r="B176" s="57" t="n">
        <f aca="false">B112*C99</f>
        <v>0</v>
      </c>
      <c r="C176" s="58" t="n">
        <f aca="false">B176/B180</f>
        <v>0</v>
      </c>
      <c r="D176" s="59" t="n">
        <f aca="false">D112*C99</f>
        <v>9830.472</v>
      </c>
      <c r="E176" s="60" t="n">
        <v>0.2</v>
      </c>
      <c r="F176" s="59" t="n">
        <f aca="false">F73*B163</f>
        <v>0</v>
      </c>
      <c r="G176" s="60" t="n">
        <f aca="false">F176/F180</f>
        <v>0</v>
      </c>
      <c r="H176" s="57" t="n">
        <f aca="false">H112*C99</f>
        <v>0</v>
      </c>
      <c r="I176" s="58" t="n">
        <f aca="false">E176</f>
        <v>0.2</v>
      </c>
      <c r="J176" s="57" t="n">
        <f aca="false">J112*C99</f>
        <v>9830.472</v>
      </c>
      <c r="K176" s="58" t="n">
        <f aca="false">E176</f>
        <v>0.2</v>
      </c>
    </row>
    <row r="177" customFormat="false" ht="15" hidden="false" customHeight="false" outlineLevel="0" collapsed="false">
      <c r="A177" s="54" t="s">
        <v>42</v>
      </c>
      <c r="B177" s="57" t="n">
        <f aca="false">B113*C100</f>
        <v>0</v>
      </c>
      <c r="C177" s="58" t="n">
        <f aca="false">B177/B180</f>
        <v>0</v>
      </c>
      <c r="D177" s="59" t="n">
        <f aca="false">D113*C100</f>
        <v>28016.8452</v>
      </c>
      <c r="E177" s="60" t="n">
        <v>0.57</v>
      </c>
      <c r="F177" s="59" t="n">
        <f aca="false">F74*B164</f>
        <v>0</v>
      </c>
      <c r="G177" s="60" t="n">
        <f aca="false">F177/F180</f>
        <v>0</v>
      </c>
      <c r="H177" s="57" t="n">
        <f aca="false">H113*C100</f>
        <v>0</v>
      </c>
      <c r="I177" s="58" t="n">
        <f aca="false">E177</f>
        <v>0.57</v>
      </c>
      <c r="J177" s="57" t="n">
        <f aca="false">J113*C100</f>
        <v>28016.8452</v>
      </c>
      <c r="K177" s="58" t="n">
        <f aca="false">E177</f>
        <v>0.57</v>
      </c>
    </row>
    <row r="178" customFormat="false" ht="15" hidden="false" customHeight="false" outlineLevel="0" collapsed="false">
      <c r="A178" s="54" t="s">
        <v>46</v>
      </c>
      <c r="B178" s="57" t="n">
        <f aca="false">B114*C101</f>
        <v>0</v>
      </c>
      <c r="C178" s="58" t="n">
        <f aca="false">B178/B180</f>
        <v>0</v>
      </c>
      <c r="D178" s="59" t="n">
        <f aca="false">D114*C101</f>
        <v>0</v>
      </c>
      <c r="E178" s="60" t="n">
        <v>0</v>
      </c>
      <c r="F178" s="59" t="n">
        <f aca="false">F75*B165</f>
        <v>0</v>
      </c>
      <c r="G178" s="60" t="n">
        <f aca="false">F178/F180</f>
        <v>0</v>
      </c>
      <c r="H178" s="57" t="n">
        <f aca="false">H114*C101</f>
        <v>0</v>
      </c>
      <c r="I178" s="58" t="n">
        <f aca="false">E178</f>
        <v>0</v>
      </c>
      <c r="J178" s="57" t="n">
        <f aca="false">J114*C101</f>
        <v>0</v>
      </c>
      <c r="K178" s="58" t="n">
        <f aca="false">E178</f>
        <v>0</v>
      </c>
    </row>
    <row r="179" customFormat="false" ht="15" hidden="false" customHeight="false" outlineLevel="0" collapsed="false">
      <c r="A179" s="54" t="s">
        <v>50</v>
      </c>
      <c r="B179" s="57" t="n">
        <f aca="false">B115*C102</f>
        <v>0</v>
      </c>
      <c r="C179" s="58" t="n">
        <f aca="false">B179/B180</f>
        <v>0</v>
      </c>
      <c r="D179" s="59" t="n">
        <f aca="false">D115*C102</f>
        <v>0</v>
      </c>
      <c r="E179" s="60" t="n">
        <v>0</v>
      </c>
      <c r="F179" s="59" t="n">
        <f aca="false">F76*B166</f>
        <v>0</v>
      </c>
      <c r="G179" s="60" t="n">
        <f aca="false">F179/F180</f>
        <v>0</v>
      </c>
      <c r="H179" s="57" t="n">
        <f aca="false">H115*C102</f>
        <v>0</v>
      </c>
      <c r="I179" s="58" t="n">
        <f aca="false">E179</f>
        <v>0</v>
      </c>
      <c r="J179" s="57" t="n">
        <f aca="false">J115*C102</f>
        <v>0</v>
      </c>
      <c r="K179" s="58" t="n">
        <f aca="false">E179</f>
        <v>0</v>
      </c>
    </row>
    <row r="180" customFormat="false" ht="15" hidden="false" customHeight="false" outlineLevel="0" collapsed="false">
      <c r="A180" s="54" t="s">
        <v>53</v>
      </c>
      <c r="B180" s="61" t="n">
        <f aca="false">SUM(B174:B179)</f>
        <v>19366.2576</v>
      </c>
      <c r="C180" s="62" t="n">
        <f aca="false">SUM(C174:C179)</f>
        <v>1</v>
      </c>
      <c r="D180" s="63" t="n">
        <f aca="false">SUM(D174:D179)</f>
        <v>49152.36</v>
      </c>
      <c r="E180" s="64" t="n">
        <f aca="false">SUM(E174:E179)</f>
        <v>1</v>
      </c>
      <c r="F180" s="63" t="n">
        <f aca="false">SUM(F174:F179)</f>
        <v>19366.2576</v>
      </c>
      <c r="G180" s="64" t="n">
        <f aca="false">SUM(G174:G179)</f>
        <v>1</v>
      </c>
      <c r="H180" s="61" t="n">
        <f aca="false">SUM(H174:H179)</f>
        <v>19366.2576</v>
      </c>
      <c r="I180" s="62" t="n">
        <f aca="false">SUM(I174:I179)</f>
        <v>2</v>
      </c>
      <c r="J180" s="61" t="n">
        <f aca="false">SUM(J174:J179)</f>
        <v>49152.36</v>
      </c>
      <c r="K180" s="62" t="n">
        <f aca="false">SUM(K174:K179)</f>
        <v>1</v>
      </c>
    </row>
    <row r="182" customFormat="false" ht="15" hidden="false" customHeight="false" outlineLevel="0" collapsed="false">
      <c r="A182" s="54" t="s">
        <v>6</v>
      </c>
      <c r="B182" s="45" t="n">
        <v>6</v>
      </c>
      <c r="C182" s="45"/>
      <c r="D182" s="45" t="n">
        <v>7</v>
      </c>
      <c r="E182" s="45"/>
      <c r="F182" s="45" t="n">
        <v>8</v>
      </c>
      <c r="G182" s="45"/>
      <c r="H182" s="45" t="n">
        <v>9</v>
      </c>
      <c r="I182" s="45"/>
      <c r="J182" s="45" t="n">
        <v>10</v>
      </c>
      <c r="K182" s="45"/>
    </row>
    <row r="183" customFormat="false" ht="15" hidden="false" customHeight="false" outlineLevel="0" collapsed="false">
      <c r="A183" s="54" t="s">
        <v>30</v>
      </c>
      <c r="B183" s="55" t="s">
        <v>112</v>
      </c>
      <c r="C183" s="56" t="s">
        <v>109</v>
      </c>
      <c r="D183" s="55" t="s">
        <v>112</v>
      </c>
      <c r="E183" s="56" t="s">
        <v>109</v>
      </c>
      <c r="F183" s="55" t="s">
        <v>112</v>
      </c>
      <c r="G183" s="56" t="s">
        <v>109</v>
      </c>
      <c r="H183" s="55" t="s">
        <v>112</v>
      </c>
      <c r="I183" s="56" t="s">
        <v>109</v>
      </c>
      <c r="J183" s="55" t="s">
        <v>112</v>
      </c>
      <c r="K183" s="56" t="s">
        <v>109</v>
      </c>
    </row>
    <row r="184" customFormat="false" ht="15" hidden="false" customHeight="false" outlineLevel="0" collapsed="false">
      <c r="A184" s="54" t="s">
        <v>38</v>
      </c>
      <c r="B184" s="57" t="n">
        <f aca="false">B120*C97</f>
        <v>19366.2576</v>
      </c>
      <c r="C184" s="58" t="n">
        <f aca="false">B184/B190</f>
        <v>0.282642269770486</v>
      </c>
      <c r="D184" s="57" t="n">
        <f aca="false">D120*C97</f>
        <v>19366.2576</v>
      </c>
      <c r="E184" s="58" t="n">
        <f aca="false">C184</f>
        <v>0.282642269770486</v>
      </c>
      <c r="F184" s="57" t="n">
        <f aca="false">F120*C97</f>
        <v>13104.500976</v>
      </c>
      <c r="G184" s="58" t="n">
        <f aca="false">F184/F190</f>
        <v>0.191254602544696</v>
      </c>
      <c r="H184" s="57" t="n">
        <f aca="false">H120*C97</f>
        <v>13104.500976</v>
      </c>
      <c r="I184" s="58" t="n">
        <f aca="false">G184</f>
        <v>0.191254602544696</v>
      </c>
      <c r="J184" s="57" t="n">
        <f aca="false">J120*C97</f>
        <v>13104.500976</v>
      </c>
      <c r="K184" s="58" t="n">
        <f aca="false">I184</f>
        <v>0.191254602544696</v>
      </c>
    </row>
    <row r="185" customFormat="false" ht="15" hidden="false" customHeight="false" outlineLevel="0" collapsed="false">
      <c r="A185" s="54" t="s">
        <v>41</v>
      </c>
      <c r="B185" s="57" t="n">
        <f aca="false">B121*C98</f>
        <v>11305.0428</v>
      </c>
      <c r="C185" s="58" t="n">
        <f aca="false">B185/B190</f>
        <v>0.164992277952788</v>
      </c>
      <c r="D185" s="57" t="n">
        <f aca="false">D121*C98</f>
        <v>11305.0428</v>
      </c>
      <c r="E185" s="58" t="n">
        <f aca="false">C185</f>
        <v>0.164992277952788</v>
      </c>
      <c r="F185" s="57" t="n">
        <f aca="false">F121*C98</f>
        <v>339.151284000001</v>
      </c>
      <c r="G185" s="58" t="n">
        <f aca="false">F185/F190</f>
        <v>0.00494976833858365</v>
      </c>
      <c r="H185" s="57" t="n">
        <f aca="false">H121*C98</f>
        <v>339.151284000001</v>
      </c>
      <c r="I185" s="58" t="n">
        <f aca="false">G185</f>
        <v>0.00494976833858365</v>
      </c>
      <c r="J185" s="57" t="n">
        <f aca="false">J121*C98</f>
        <v>339.151284000001</v>
      </c>
      <c r="K185" s="58" t="n">
        <f aca="false">I185</f>
        <v>0.00494976833858365</v>
      </c>
    </row>
    <row r="186" customFormat="false" ht="15" hidden="false" customHeight="false" outlineLevel="0" collapsed="false">
      <c r="A186" s="54" t="s">
        <v>43</v>
      </c>
      <c r="B186" s="57" t="n">
        <f aca="false">B122*C99</f>
        <v>9830.472</v>
      </c>
      <c r="C186" s="58" t="n">
        <f aca="false">B186/B190</f>
        <v>0.143471546045903</v>
      </c>
      <c r="D186" s="57" t="n">
        <f aca="false">D122*C99</f>
        <v>9830.472</v>
      </c>
      <c r="E186" s="58" t="n">
        <f aca="false">C186</f>
        <v>0.143471546045903</v>
      </c>
      <c r="F186" s="57" t="n">
        <f aca="false">F122*C99</f>
        <v>9830.472</v>
      </c>
      <c r="G186" s="58" t="n">
        <f aca="false">F186/F190</f>
        <v>0.143471546045903</v>
      </c>
      <c r="H186" s="57" t="n">
        <f aca="false">H122*C99</f>
        <v>9830.472</v>
      </c>
      <c r="I186" s="58" t="n">
        <f aca="false">G186</f>
        <v>0.143471546045903</v>
      </c>
      <c r="J186" s="57" t="n">
        <f aca="false">J122*C99</f>
        <v>9830.472</v>
      </c>
      <c r="K186" s="58" t="n">
        <f aca="false">I186</f>
        <v>0.143471546045903</v>
      </c>
    </row>
    <row r="187" customFormat="false" ht="15" hidden="false" customHeight="false" outlineLevel="0" collapsed="false">
      <c r="A187" s="54" t="s">
        <v>42</v>
      </c>
      <c r="B187" s="57" t="n">
        <f aca="false">B123*C100</f>
        <v>28016.8452</v>
      </c>
      <c r="C187" s="58" t="n">
        <f aca="false">B187/B190</f>
        <v>0.408893906230823</v>
      </c>
      <c r="D187" s="57" t="n">
        <f aca="false">D123*C100</f>
        <v>28016.8452</v>
      </c>
      <c r="E187" s="58" t="n">
        <f aca="false">C187</f>
        <v>0.408893906230823</v>
      </c>
      <c r="F187" s="57" t="n">
        <f aca="false">F123*C100</f>
        <v>28016.8452</v>
      </c>
      <c r="G187" s="58" t="n">
        <f aca="false">F187/F190</f>
        <v>0.408893906230823</v>
      </c>
      <c r="H187" s="57" t="n">
        <f aca="false">H123*C100</f>
        <v>28016.8452</v>
      </c>
      <c r="I187" s="58" t="n">
        <f aca="false">G187</f>
        <v>0.408893906230823</v>
      </c>
      <c r="J187" s="57" t="n">
        <f aca="false">J123*C100</f>
        <v>28016.8452</v>
      </c>
      <c r="K187" s="58" t="n">
        <f aca="false">I187</f>
        <v>0.408893906230823</v>
      </c>
    </row>
    <row r="188" customFormat="false" ht="15" hidden="false" customHeight="false" outlineLevel="0" collapsed="false">
      <c r="A188" s="54" t="s">
        <v>46</v>
      </c>
      <c r="B188" s="57" t="n">
        <f aca="false">B124*C101</f>
        <v>0</v>
      </c>
      <c r="C188" s="58" t="n">
        <f aca="false">B188/B190</f>
        <v>0</v>
      </c>
      <c r="D188" s="57" t="n">
        <f aca="false">D124*C101</f>
        <v>0</v>
      </c>
      <c r="E188" s="58" t="n">
        <f aca="false">C188</f>
        <v>0</v>
      </c>
      <c r="F188" s="57" t="n">
        <f aca="false">F124*C101</f>
        <v>17227.64814</v>
      </c>
      <c r="G188" s="58" t="n">
        <f aca="false">F188/F190</f>
        <v>0.251430176839995</v>
      </c>
      <c r="H188" s="57" t="n">
        <f aca="false">H124*C101</f>
        <v>17227.64814</v>
      </c>
      <c r="I188" s="58" t="n">
        <f aca="false">G188</f>
        <v>0.251430176839995</v>
      </c>
      <c r="J188" s="57" t="n">
        <f aca="false">J124*C101</f>
        <v>17227.64814</v>
      </c>
      <c r="K188" s="58" t="n">
        <f aca="false">I188</f>
        <v>0.251430176839995</v>
      </c>
    </row>
    <row r="189" customFormat="false" ht="15" hidden="false" customHeight="false" outlineLevel="0" collapsed="false">
      <c r="A189" s="54" t="s">
        <v>50</v>
      </c>
      <c r="B189" s="57" t="n">
        <f aca="false">B125*C102</f>
        <v>0</v>
      </c>
      <c r="C189" s="58" t="n">
        <f aca="false">B189/B190</f>
        <v>0</v>
      </c>
      <c r="D189" s="57" t="n">
        <f aca="false">D125*C102</f>
        <v>0</v>
      </c>
      <c r="E189" s="58" t="n">
        <f aca="false">C189</f>
        <v>0</v>
      </c>
      <c r="F189" s="57" t="n">
        <f aca="false">F125*C102</f>
        <v>0</v>
      </c>
      <c r="G189" s="58" t="n">
        <f aca="false">F189/F190</f>
        <v>0</v>
      </c>
      <c r="H189" s="57" t="n">
        <f aca="false">H125*C102</f>
        <v>0</v>
      </c>
      <c r="I189" s="58" t="n">
        <f aca="false">G189</f>
        <v>0</v>
      </c>
      <c r="J189" s="57" t="n">
        <f aca="false">J125*C102</f>
        <v>0</v>
      </c>
      <c r="K189" s="58" t="n">
        <f aca="false">I189</f>
        <v>0</v>
      </c>
    </row>
    <row r="190" customFormat="false" ht="15" hidden="false" customHeight="false" outlineLevel="0" collapsed="false">
      <c r="A190" s="54" t="s">
        <v>53</v>
      </c>
      <c r="B190" s="61" t="n">
        <f aca="false">SUM(B184:B189)</f>
        <v>68518.6176</v>
      </c>
      <c r="C190" s="62" t="n">
        <f aca="false">SUM(C184:C189)</f>
        <v>1</v>
      </c>
      <c r="D190" s="61" t="n">
        <f aca="false">SUM(D184:D189)</f>
        <v>68518.6176</v>
      </c>
      <c r="E190" s="62" t="n">
        <f aca="false">SUM(E184:E189)</f>
        <v>1</v>
      </c>
      <c r="F190" s="61" t="n">
        <f aca="false">SUM(F184:F189)</f>
        <v>68518.6176</v>
      </c>
      <c r="G190" s="62" t="n">
        <f aca="false">SUM(G184:G189)</f>
        <v>1</v>
      </c>
      <c r="H190" s="61" t="n">
        <f aca="false">SUM(H184:H189)</f>
        <v>68518.6176</v>
      </c>
      <c r="I190" s="62" t="n">
        <f aca="false">SUM(I184:I189)</f>
        <v>1</v>
      </c>
      <c r="J190" s="61" t="n">
        <f aca="false">SUM(J184:J189)</f>
        <v>68518.6176</v>
      </c>
      <c r="K190" s="62" t="n">
        <f aca="false">SUM(K184:K189)</f>
        <v>1</v>
      </c>
    </row>
    <row r="192" customFormat="false" ht="15" hidden="false" customHeight="false" outlineLevel="0" collapsed="false">
      <c r="A192" s="54" t="s">
        <v>6</v>
      </c>
      <c r="B192" s="45" t="n">
        <v>11</v>
      </c>
      <c r="C192" s="45"/>
      <c r="D192" s="45" t="n">
        <v>12</v>
      </c>
      <c r="E192" s="45"/>
      <c r="F192" s="45" t="n">
        <v>13</v>
      </c>
      <c r="G192" s="45"/>
      <c r="H192" s="45" t="n">
        <v>14</v>
      </c>
      <c r="I192" s="45"/>
      <c r="J192" s="45" t="n">
        <v>15</v>
      </c>
      <c r="K192" s="45"/>
    </row>
    <row r="193" customFormat="false" ht="15" hidden="false" customHeight="false" outlineLevel="0" collapsed="false">
      <c r="A193" s="54" t="s">
        <v>30</v>
      </c>
      <c r="B193" s="55" t="s">
        <v>112</v>
      </c>
      <c r="C193" s="56" t="s">
        <v>109</v>
      </c>
      <c r="D193" s="55" t="s">
        <v>112</v>
      </c>
      <c r="E193" s="56" t="s">
        <v>109</v>
      </c>
      <c r="F193" s="55" t="s">
        <v>112</v>
      </c>
      <c r="G193" s="56" t="s">
        <v>109</v>
      </c>
      <c r="H193" s="55" t="s">
        <v>112</v>
      </c>
      <c r="I193" s="56" t="s">
        <v>109</v>
      </c>
      <c r="J193" s="55" t="s">
        <v>112</v>
      </c>
      <c r="K193" s="56" t="s">
        <v>109</v>
      </c>
    </row>
    <row r="194" customFormat="false" ht="15" hidden="false" customHeight="false" outlineLevel="0" collapsed="false">
      <c r="A194" s="54" t="s">
        <v>38</v>
      </c>
      <c r="B194" s="57" t="n">
        <f aca="false">B130*C97</f>
        <v>12449.2759272</v>
      </c>
      <c r="C194" s="58" t="n">
        <f aca="false">B194/B200</f>
        <v>0.245859443204836</v>
      </c>
      <c r="D194" s="57" t="n">
        <f aca="false">D130*C97</f>
        <v>12449.2759272</v>
      </c>
      <c r="E194" s="58" t="n">
        <f aca="false">C194</f>
        <v>0.245859443204836</v>
      </c>
      <c r="F194" s="57" t="n">
        <f aca="false">F130*C97</f>
        <v>8299.5172848</v>
      </c>
      <c r="G194" s="58" t="n">
        <f aca="false">F194/F200</f>
        <v>0.245859443204836</v>
      </c>
      <c r="H194" s="57" t="n">
        <f aca="false">H130*C97</f>
        <v>4149.7586424</v>
      </c>
      <c r="I194" s="58" t="n">
        <f aca="false">H194/H200</f>
        <v>0.245859443204836</v>
      </c>
      <c r="J194" s="57" t="n">
        <f aca="false">J130*C97</f>
        <v>655.2250488</v>
      </c>
      <c r="K194" s="58" t="n">
        <f aca="false">J194/J200</f>
        <v>0.0366398084850462</v>
      </c>
    </row>
    <row r="195" customFormat="false" ht="15" hidden="false" customHeight="false" outlineLevel="0" collapsed="false">
      <c r="A195" s="54" t="s">
        <v>41</v>
      </c>
      <c r="B195" s="57" t="n">
        <f aca="false">B131*C98</f>
        <v>339.151284000001</v>
      </c>
      <c r="C195" s="58" t="n">
        <f aca="false">B195/B200</f>
        <v>0.0066978630993521</v>
      </c>
      <c r="D195" s="57" t="n">
        <f aca="false">D131*C98</f>
        <v>339.151284000001</v>
      </c>
      <c r="E195" s="58" t="n">
        <f aca="false">C195</f>
        <v>0.0066978630993521</v>
      </c>
      <c r="F195" s="57" t="n">
        <f aca="false">F131*C98</f>
        <v>226.100856</v>
      </c>
      <c r="G195" s="58" t="n">
        <f aca="false">F195/F200</f>
        <v>0.0066978630993521</v>
      </c>
      <c r="H195" s="57" t="n">
        <f aca="false">H131*C98</f>
        <v>113.050428</v>
      </c>
      <c r="I195" s="58" t="n">
        <f aca="false">H195/H200</f>
        <v>0.0066978630993521</v>
      </c>
      <c r="J195" s="57" t="n">
        <f aca="false">J131*C98</f>
        <v>0</v>
      </c>
      <c r="K195" s="58" t="n">
        <f aca="false">J195/J200</f>
        <v>0</v>
      </c>
    </row>
    <row r="196" customFormat="false" ht="15" hidden="false" customHeight="false" outlineLevel="0" collapsed="false">
      <c r="A196" s="54" t="s">
        <v>43</v>
      </c>
      <c r="B196" s="57" t="n">
        <f aca="false">B132*C99</f>
        <v>9830.472</v>
      </c>
      <c r="C196" s="58" t="n">
        <f aca="false">B196/B200</f>
        <v>0.19414095940151</v>
      </c>
      <c r="D196" s="57" t="n">
        <f aca="false">D132*C99</f>
        <v>9830.472</v>
      </c>
      <c r="E196" s="58" t="n">
        <f aca="false">C196</f>
        <v>0.19414095940151</v>
      </c>
      <c r="F196" s="57" t="n">
        <f aca="false">F132*C99</f>
        <v>6553.648</v>
      </c>
      <c r="G196" s="58" t="n">
        <f aca="false">F196/F200</f>
        <v>0.19414095940151</v>
      </c>
      <c r="H196" s="57" t="n">
        <f aca="false">H132*C99</f>
        <v>3276.824</v>
      </c>
      <c r="I196" s="58" t="n">
        <f aca="false">H196/H200</f>
        <v>0.19414095940151</v>
      </c>
      <c r="J196" s="57" t="n">
        <f aca="false">J132*C99</f>
        <v>0</v>
      </c>
      <c r="K196" s="58" t="n">
        <f aca="false">J196/J200</f>
        <v>0</v>
      </c>
    </row>
    <row r="197" customFormat="false" ht="15" hidden="false" customHeight="false" outlineLevel="0" collapsed="false">
      <c r="A197" s="54" t="s">
        <v>42</v>
      </c>
      <c r="B197" s="57" t="n">
        <f aca="false">B133*C100</f>
        <v>28016.8452</v>
      </c>
      <c r="C197" s="58" t="n">
        <f aca="false">B197/B200</f>
        <v>0.553301734294303</v>
      </c>
      <c r="D197" s="57" t="n">
        <f aca="false">D133*C100</f>
        <v>28016.8452</v>
      </c>
      <c r="E197" s="58" t="n">
        <f aca="false">C197</f>
        <v>0.553301734294303</v>
      </c>
      <c r="F197" s="57" t="n">
        <f aca="false">F133*C100</f>
        <v>18677.8968</v>
      </c>
      <c r="G197" s="58" t="n">
        <f aca="false">F197/F200</f>
        <v>0.553301734294303</v>
      </c>
      <c r="H197" s="57" t="n">
        <f aca="false">H133*C100</f>
        <v>9338.9484</v>
      </c>
      <c r="I197" s="58" t="n">
        <f aca="false">H197/H200</f>
        <v>0.553301734294303</v>
      </c>
      <c r="J197" s="57" t="n">
        <f aca="false">J133*C100</f>
        <v>0</v>
      </c>
      <c r="K197" s="58" t="n">
        <f aca="false">J197/J200</f>
        <v>0</v>
      </c>
    </row>
    <row r="198" customFormat="false" ht="15" hidden="false" customHeight="false" outlineLevel="0" collapsed="false">
      <c r="A198" s="54" t="s">
        <v>46</v>
      </c>
      <c r="B198" s="57" t="n">
        <f aca="false">B134*C101</f>
        <v>0</v>
      </c>
      <c r="C198" s="58" t="n">
        <f aca="false">B198/B200</f>
        <v>0</v>
      </c>
      <c r="D198" s="57" t="n">
        <f aca="false">D134*C101</f>
        <v>0</v>
      </c>
      <c r="E198" s="58" t="n">
        <f aca="false">C198</f>
        <v>0</v>
      </c>
      <c r="F198" s="57" t="n">
        <f aca="false">F134*C101</f>
        <v>0</v>
      </c>
      <c r="G198" s="58" t="n">
        <f aca="false">F198/F200</f>
        <v>0</v>
      </c>
      <c r="H198" s="57" t="n">
        <f aca="false">H134*C101</f>
        <v>0</v>
      </c>
      <c r="I198" s="58" t="n">
        <f aca="false">H198/H200</f>
        <v>0</v>
      </c>
      <c r="J198" s="57" t="n">
        <f aca="false">J134*C101</f>
        <v>17227.64814</v>
      </c>
      <c r="K198" s="58" t="n">
        <f aca="false">J198/J200</f>
        <v>0.963360191514954</v>
      </c>
    </row>
    <row r="199" customFormat="false" ht="15" hidden="false" customHeight="false" outlineLevel="0" collapsed="false">
      <c r="A199" s="54" t="s">
        <v>50</v>
      </c>
      <c r="B199" s="57" t="n">
        <f aca="false">B135*C102</f>
        <v>0</v>
      </c>
      <c r="C199" s="58" t="n">
        <f aca="false">B199/B200</f>
        <v>0</v>
      </c>
      <c r="D199" s="57" t="n">
        <f aca="false">D135*C102</f>
        <v>0</v>
      </c>
      <c r="E199" s="58" t="n">
        <f aca="false">C199</f>
        <v>0</v>
      </c>
      <c r="F199" s="57" t="n">
        <f aca="false">F135*C102</f>
        <v>0</v>
      </c>
      <c r="G199" s="58" t="n">
        <f aca="false">F199/F200</f>
        <v>0</v>
      </c>
      <c r="H199" s="57" t="n">
        <f aca="false">H135*C102</f>
        <v>0</v>
      </c>
      <c r="I199" s="58" t="n">
        <f aca="false">H199/H200</f>
        <v>0</v>
      </c>
      <c r="J199" s="57" t="n">
        <f aca="false">J135*C102</f>
        <v>0</v>
      </c>
      <c r="K199" s="58" t="n">
        <f aca="false">J199/J200</f>
        <v>0</v>
      </c>
    </row>
    <row r="200" customFormat="false" ht="15" hidden="false" customHeight="false" outlineLevel="0" collapsed="false">
      <c r="A200" s="54" t="s">
        <v>53</v>
      </c>
      <c r="B200" s="61" t="n">
        <f aca="false">SUM(B194:B199)</f>
        <v>50635.7444112</v>
      </c>
      <c r="C200" s="62" t="n">
        <f aca="false">SUM(C194:C199)</f>
        <v>1</v>
      </c>
      <c r="D200" s="61" t="n">
        <f aca="false">SUM(D194:D199)</f>
        <v>50635.7444112</v>
      </c>
      <c r="E200" s="62" t="n">
        <f aca="false">SUM(E194:E199)</f>
        <v>1</v>
      </c>
      <c r="F200" s="61" t="n">
        <f aca="false">SUM(F194:F199)</f>
        <v>33757.1629408</v>
      </c>
      <c r="G200" s="62" t="n">
        <f aca="false">SUM(G194:G199)</f>
        <v>1</v>
      </c>
      <c r="H200" s="61" t="n">
        <f aca="false">SUM(H194:H199)</f>
        <v>16878.5814704</v>
      </c>
      <c r="I200" s="62" t="n">
        <f aca="false">SUM(I194:I199)</f>
        <v>1</v>
      </c>
      <c r="J200" s="61" t="n">
        <f aca="false">SUM(J194:J199)</f>
        <v>17882.8731888</v>
      </c>
      <c r="K200" s="62" t="n">
        <f aca="false">SUM(K194:K199)</f>
        <v>1</v>
      </c>
    </row>
    <row r="202" customFormat="false" ht="15" hidden="false" customHeight="false" outlineLevel="0" collapsed="false">
      <c r="A202" s="54" t="s">
        <v>6</v>
      </c>
      <c r="B202" s="45" t="n">
        <v>16</v>
      </c>
      <c r="C202" s="45"/>
      <c r="D202" s="45" t="n">
        <v>17</v>
      </c>
      <c r="E202" s="45"/>
      <c r="F202" s="45" t="n">
        <v>19</v>
      </c>
      <c r="G202" s="45"/>
      <c r="H202" s="45" t="n">
        <v>20</v>
      </c>
      <c r="I202" s="45"/>
      <c r="J202" s="45" t="n">
        <v>21</v>
      </c>
      <c r="K202" s="45"/>
    </row>
    <row r="203" customFormat="false" ht="15" hidden="false" customHeight="false" outlineLevel="0" collapsed="false">
      <c r="A203" s="54" t="s">
        <v>30</v>
      </c>
      <c r="B203" s="55" t="s">
        <v>112</v>
      </c>
      <c r="C203" s="56" t="s">
        <v>109</v>
      </c>
      <c r="D203" s="55" t="s">
        <v>112</v>
      </c>
      <c r="E203" s="56" t="s">
        <v>109</v>
      </c>
      <c r="F203" s="55" t="s">
        <v>112</v>
      </c>
      <c r="G203" s="56" t="s">
        <v>109</v>
      </c>
      <c r="H203" s="55" t="s">
        <v>112</v>
      </c>
      <c r="I203" s="56" t="s">
        <v>109</v>
      </c>
      <c r="J203" s="55" t="s">
        <v>112</v>
      </c>
      <c r="K203" s="56" t="s">
        <v>109</v>
      </c>
    </row>
    <row r="204" customFormat="false" ht="15" hidden="false" customHeight="false" outlineLevel="0" collapsed="false">
      <c r="A204" s="54" t="s">
        <v>38</v>
      </c>
      <c r="B204" s="57" t="n">
        <f aca="false">B140*C97</f>
        <v>326.56351878</v>
      </c>
      <c r="C204" s="60" t="n">
        <v>0.95</v>
      </c>
      <c r="D204" s="57" t="n">
        <f aca="false">D140*C97</f>
        <v>328.66153002</v>
      </c>
      <c r="E204" s="60" t="n">
        <v>0.05</v>
      </c>
      <c r="F204" s="57" t="n">
        <f aca="false">F140*C97</f>
        <v>0</v>
      </c>
      <c r="G204" s="58" t="n">
        <f aca="false">F204/F210</f>
        <v>0</v>
      </c>
      <c r="H204" s="57" t="n">
        <f aca="false">H140*C97</f>
        <v>0</v>
      </c>
      <c r="I204" s="58" t="n">
        <f aca="false">H204/H210</f>
        <v>0</v>
      </c>
      <c r="J204" s="57" t="n">
        <f aca="false">J140*C97</f>
        <v>4149.7586424</v>
      </c>
      <c r="K204" s="58" t="n">
        <f aca="false">J204/J210</f>
        <v>0.640031961646025</v>
      </c>
    </row>
    <row r="205" customFormat="false" ht="15" hidden="false" customHeight="false" outlineLevel="0" collapsed="false">
      <c r="A205" s="54" t="s">
        <v>41</v>
      </c>
      <c r="B205" s="57" t="n">
        <f aca="false">B141*C98</f>
        <v>0</v>
      </c>
      <c r="C205" s="60" t="n">
        <v>0</v>
      </c>
      <c r="D205" s="57" t="n">
        <f aca="false">D141*C98</f>
        <v>0</v>
      </c>
      <c r="E205" s="60" t="n">
        <v>0</v>
      </c>
      <c r="F205" s="57" t="n">
        <f aca="false">F141*C98</f>
        <v>0</v>
      </c>
      <c r="G205" s="58" t="n">
        <f aca="false">F205/F210</f>
        <v>0</v>
      </c>
      <c r="H205" s="57" t="n">
        <f aca="false">H141*C98</f>
        <v>113.050428</v>
      </c>
      <c r="I205" s="58" t="n">
        <f aca="false">H205/H210</f>
        <v>0.0088814519243146</v>
      </c>
      <c r="J205" s="57" t="n">
        <f aca="false">J141*C98</f>
        <v>0</v>
      </c>
      <c r="K205" s="58" t="n">
        <f aca="false">J205/J210</f>
        <v>0</v>
      </c>
    </row>
    <row r="206" customFormat="false" ht="15" hidden="false" customHeight="false" outlineLevel="0" collapsed="false">
      <c r="A206" s="54" t="s">
        <v>43</v>
      </c>
      <c r="B206" s="57" t="n">
        <f aca="false">B142*C99</f>
        <v>0</v>
      </c>
      <c r="C206" s="60" t="n">
        <v>0</v>
      </c>
      <c r="D206" s="57" t="n">
        <f aca="false">D142*C99</f>
        <v>0</v>
      </c>
      <c r="E206" s="60" t="n">
        <v>0</v>
      </c>
      <c r="F206" s="57" t="n">
        <f aca="false">F142*C99</f>
        <v>0</v>
      </c>
      <c r="G206" s="58" t="n">
        <f aca="false">F206/F210</f>
        <v>0</v>
      </c>
      <c r="H206" s="57" t="n">
        <f aca="false">H142*C99</f>
        <v>3276.824</v>
      </c>
      <c r="I206" s="58" t="n">
        <f aca="false">H206/H210</f>
        <v>0.257433389110568</v>
      </c>
      <c r="J206" s="57" t="n">
        <f aca="false">J142*C99</f>
        <v>0</v>
      </c>
      <c r="K206" s="58" t="n">
        <f aca="false">J206/J210</f>
        <v>0</v>
      </c>
    </row>
    <row r="207" customFormat="false" ht="15" hidden="false" customHeight="false" outlineLevel="0" collapsed="false">
      <c r="A207" s="54" t="s">
        <v>42</v>
      </c>
      <c r="B207" s="57" t="n">
        <f aca="false">B143*C100</f>
        <v>0</v>
      </c>
      <c r="C207" s="60" t="n">
        <v>0</v>
      </c>
      <c r="D207" s="57" t="n">
        <f aca="false">D143*C100</f>
        <v>0</v>
      </c>
      <c r="E207" s="60" t="n">
        <v>0</v>
      </c>
      <c r="F207" s="57" t="n">
        <f aca="false">F143*C100</f>
        <v>0</v>
      </c>
      <c r="G207" s="58" t="n">
        <f aca="false">F207/F210</f>
        <v>0</v>
      </c>
      <c r="H207" s="57" t="n">
        <f aca="false">H143*C100</f>
        <v>9338.9484</v>
      </c>
      <c r="I207" s="58" t="n">
        <f aca="false">H207/H210</f>
        <v>0.733685158965118</v>
      </c>
      <c r="J207" s="57" t="n">
        <f aca="false">J143*C100</f>
        <v>0</v>
      </c>
      <c r="K207" s="58" t="n">
        <f aca="false">J207/J210</f>
        <v>0</v>
      </c>
    </row>
    <row r="208" customFormat="false" ht="15" hidden="false" customHeight="false" outlineLevel="0" collapsed="false">
      <c r="A208" s="54" t="s">
        <v>46</v>
      </c>
      <c r="B208" s="57" t="n">
        <f aca="false">B144*C101</f>
        <v>47.287230075</v>
      </c>
      <c r="C208" s="60" t="n">
        <v>0.05</v>
      </c>
      <c r="D208" s="57" t="n">
        <f aca="false">D144*C101</f>
        <v>17180.3898672</v>
      </c>
      <c r="E208" s="60" t="n">
        <v>0.95</v>
      </c>
      <c r="F208" s="57" t="n">
        <f aca="false">F144*C101</f>
        <v>0</v>
      </c>
      <c r="G208" s="58" t="n">
        <f aca="false">F208/F210</f>
        <v>0</v>
      </c>
      <c r="H208" s="57" t="n">
        <f aca="false">H144*C101</f>
        <v>0</v>
      </c>
      <c r="I208" s="58" t="n">
        <f aca="false">H208/H210</f>
        <v>0</v>
      </c>
      <c r="J208" s="57" t="n">
        <f aca="false">J144*C101</f>
        <v>0</v>
      </c>
      <c r="K208" s="58" t="n">
        <f aca="false">J208/J210</f>
        <v>0</v>
      </c>
    </row>
    <row r="209" customFormat="false" ht="15" hidden="false" customHeight="false" outlineLevel="0" collapsed="false">
      <c r="A209" s="54" t="s">
        <v>50</v>
      </c>
      <c r="B209" s="57" t="n">
        <f aca="false">B145*C102</f>
        <v>0</v>
      </c>
      <c r="C209" s="60" t="n">
        <v>0</v>
      </c>
      <c r="D209" s="57" t="n">
        <f aca="false">D145*C102</f>
        <v>0</v>
      </c>
      <c r="E209" s="60" t="n">
        <v>0</v>
      </c>
      <c r="F209" s="57" t="n">
        <f aca="false">F145*C102</f>
        <v>2333.9154412</v>
      </c>
      <c r="G209" s="58" t="n">
        <f aca="false">F209/F210</f>
        <v>1</v>
      </c>
      <c r="H209" s="57" t="n">
        <f aca="false">H145*C102</f>
        <v>0</v>
      </c>
      <c r="I209" s="58" t="n">
        <f aca="false">H209/H210</f>
        <v>0</v>
      </c>
      <c r="J209" s="57" t="n">
        <f aca="false">J145*C102</f>
        <v>2333.9154412</v>
      </c>
      <c r="K209" s="58" t="n">
        <f aca="false">J209/J210</f>
        <v>0.359968038353975</v>
      </c>
    </row>
    <row r="210" customFormat="false" ht="15" hidden="false" customHeight="false" outlineLevel="0" collapsed="false">
      <c r="A210" s="54" t="s">
        <v>53</v>
      </c>
      <c r="B210" s="61" t="n">
        <f aca="false">SUM(B204:B209)</f>
        <v>373.850748855</v>
      </c>
      <c r="C210" s="64" t="n">
        <f aca="false">SUM(C204:C209)</f>
        <v>1</v>
      </c>
      <c r="D210" s="61" t="n">
        <f aca="false">SUM(D204:D209)</f>
        <v>17509.05139722</v>
      </c>
      <c r="E210" s="64" t="n">
        <f aca="false">SUM(E204:E209)</f>
        <v>1</v>
      </c>
      <c r="F210" s="61" t="n">
        <f aca="false">SUM(F204:F209)</f>
        <v>2333.9154412</v>
      </c>
      <c r="G210" s="62" t="n">
        <f aca="false">SUM(G204:G209)</f>
        <v>1</v>
      </c>
      <c r="H210" s="61" t="n">
        <f aca="false">SUM(H204:H209)</f>
        <v>12728.822828</v>
      </c>
      <c r="I210" s="62" t="n">
        <f aca="false">SUM(I204:I209)</f>
        <v>1</v>
      </c>
      <c r="J210" s="61" t="n">
        <f aca="false">SUM(J204:J209)</f>
        <v>6483.6740836</v>
      </c>
      <c r="K210" s="62" t="n">
        <f aca="false">SUM(K204:K209)</f>
        <v>1</v>
      </c>
    </row>
    <row r="212" customFormat="false" ht="15" hidden="false" customHeight="false" outlineLevel="0" collapsed="false">
      <c r="A212" s="54" t="s">
        <v>6</v>
      </c>
      <c r="B212" s="45" t="n">
        <v>22</v>
      </c>
      <c r="C212" s="45"/>
      <c r="D212" s="45" t="n">
        <v>23</v>
      </c>
      <c r="E212" s="45"/>
      <c r="F212" s="45" t="n">
        <v>24</v>
      </c>
      <c r="G212" s="45"/>
      <c r="H212" s="45" t="n">
        <v>25</v>
      </c>
      <c r="I212" s="45"/>
      <c r="J212" s="45" t="n">
        <v>26</v>
      </c>
      <c r="K212" s="45"/>
    </row>
    <row r="213" customFormat="false" ht="15" hidden="false" customHeight="false" outlineLevel="0" collapsed="false">
      <c r="A213" s="54" t="s">
        <v>30</v>
      </c>
      <c r="B213" s="55" t="s">
        <v>112</v>
      </c>
      <c r="C213" s="56" t="s">
        <v>109</v>
      </c>
      <c r="D213" s="55" t="s">
        <v>112</v>
      </c>
      <c r="E213" s="56" t="s">
        <v>109</v>
      </c>
      <c r="F213" s="55" t="s">
        <v>112</v>
      </c>
      <c r="G213" s="56" t="s">
        <v>109</v>
      </c>
      <c r="H213" s="55" t="s">
        <v>112</v>
      </c>
      <c r="I213" s="56" t="s">
        <v>109</v>
      </c>
      <c r="J213" s="55" t="s">
        <v>112</v>
      </c>
      <c r="K213" s="56" t="s">
        <v>109</v>
      </c>
    </row>
    <row r="214" customFormat="false" ht="15" hidden="false" customHeight="false" outlineLevel="0" collapsed="false">
      <c r="A214" s="54" t="s">
        <v>38</v>
      </c>
      <c r="B214" s="57" t="n">
        <f aca="false">B150*C97</f>
        <v>4149.7586424</v>
      </c>
      <c r="C214" s="58" t="n">
        <f aca="false">K204</f>
        <v>0.640031961646025</v>
      </c>
      <c r="D214" s="57" t="n">
        <f aca="false">D150*C97</f>
        <v>3319.80691392</v>
      </c>
      <c r="E214" s="58" t="n">
        <f aca="false">D214/D220</f>
        <v>1</v>
      </c>
      <c r="F214" s="57" t="n">
        <f aca="false">F150*C97</f>
        <v>3319.80691392</v>
      </c>
      <c r="G214" s="58" t="n">
        <f aca="false">E214</f>
        <v>1</v>
      </c>
      <c r="H214" s="57" t="n">
        <f aca="false">C97*H150</f>
        <v>1106.60230464</v>
      </c>
      <c r="I214" s="58" t="n">
        <f aca="false">H214/H220</f>
        <v>1</v>
      </c>
      <c r="J214" s="57" t="n">
        <f aca="false">J150*C97</f>
        <v>2213.20460928</v>
      </c>
      <c r="K214" s="58" t="n">
        <f aca="false">J214/J220</f>
        <v>1</v>
      </c>
    </row>
    <row r="215" customFormat="false" ht="15" hidden="false" customHeight="false" outlineLevel="0" collapsed="false">
      <c r="A215" s="54" t="s">
        <v>41</v>
      </c>
      <c r="B215" s="57" t="n">
        <f aca="false">B151*C98</f>
        <v>0</v>
      </c>
      <c r="C215" s="58" t="n">
        <f aca="false">K205</f>
        <v>0</v>
      </c>
      <c r="D215" s="57" t="n">
        <f aca="false">D151*C98</f>
        <v>0</v>
      </c>
      <c r="E215" s="58" t="n">
        <f aca="false">D215/D220</f>
        <v>0</v>
      </c>
      <c r="F215" s="57" t="n">
        <f aca="false">F151*C98</f>
        <v>0</v>
      </c>
      <c r="G215" s="58" t="n">
        <f aca="false">E215</f>
        <v>0</v>
      </c>
      <c r="H215" s="57" t="n">
        <f aca="false">C98*H151</f>
        <v>0</v>
      </c>
      <c r="I215" s="58" t="n">
        <f aca="false">H215/H220</f>
        <v>0</v>
      </c>
      <c r="J215" s="57" t="n">
        <f aca="false">J151*C98</f>
        <v>0</v>
      </c>
      <c r="K215" s="58" t="n">
        <f aca="false">J215/J220</f>
        <v>0</v>
      </c>
    </row>
    <row r="216" customFormat="false" ht="15" hidden="false" customHeight="false" outlineLevel="0" collapsed="false">
      <c r="A216" s="54" t="s">
        <v>43</v>
      </c>
      <c r="B216" s="57" t="n">
        <f aca="false">B152*C99</f>
        <v>0</v>
      </c>
      <c r="C216" s="58" t="n">
        <f aca="false">K206</f>
        <v>0</v>
      </c>
      <c r="D216" s="57" t="n">
        <f aca="false">D152*C99</f>
        <v>0</v>
      </c>
      <c r="E216" s="58" t="n">
        <f aca="false">D216/D220</f>
        <v>0</v>
      </c>
      <c r="F216" s="57" t="n">
        <f aca="false">F152*C99</f>
        <v>0</v>
      </c>
      <c r="G216" s="58" t="n">
        <f aca="false">E216</f>
        <v>0</v>
      </c>
      <c r="H216" s="57" t="n">
        <f aca="false">C99*H152</f>
        <v>0</v>
      </c>
      <c r="I216" s="58" t="n">
        <f aca="false">H216/H220</f>
        <v>0</v>
      </c>
      <c r="J216" s="57" t="n">
        <f aca="false">J152*C99</f>
        <v>0</v>
      </c>
      <c r="K216" s="58" t="n">
        <f aca="false">J216/J220</f>
        <v>0</v>
      </c>
    </row>
    <row r="217" customFormat="false" ht="15" hidden="false" customHeight="false" outlineLevel="0" collapsed="false">
      <c r="A217" s="54" t="s">
        <v>42</v>
      </c>
      <c r="B217" s="57" t="n">
        <f aca="false">B153*C100</f>
        <v>0</v>
      </c>
      <c r="C217" s="58" t="n">
        <f aca="false">K207</f>
        <v>0</v>
      </c>
      <c r="D217" s="57" t="n">
        <f aca="false">D153*C100</f>
        <v>0</v>
      </c>
      <c r="E217" s="58" t="n">
        <f aca="false">D217/D220</f>
        <v>0</v>
      </c>
      <c r="F217" s="57" t="n">
        <f aca="false">F153*C100</f>
        <v>0</v>
      </c>
      <c r="G217" s="58" t="n">
        <f aca="false">E217</f>
        <v>0</v>
      </c>
      <c r="H217" s="57" t="n">
        <f aca="false">C100*H153</f>
        <v>0</v>
      </c>
      <c r="I217" s="58" t="n">
        <f aca="false">H217/H220</f>
        <v>0</v>
      </c>
      <c r="J217" s="57" t="n">
        <f aca="false">J153*C100</f>
        <v>0</v>
      </c>
      <c r="K217" s="58" t="n">
        <f aca="false">J217/J220</f>
        <v>0</v>
      </c>
    </row>
    <row r="218" customFormat="false" ht="15" hidden="false" customHeight="false" outlineLevel="0" collapsed="false">
      <c r="A218" s="54" t="s">
        <v>46</v>
      </c>
      <c r="B218" s="57" t="n">
        <f aca="false">B154*C101</f>
        <v>0</v>
      </c>
      <c r="C218" s="58" t="n">
        <f aca="false">K208</f>
        <v>0</v>
      </c>
      <c r="D218" s="57" t="n">
        <f aca="false">D154*C101</f>
        <v>0</v>
      </c>
      <c r="E218" s="58" t="n">
        <f aca="false">D218/D220</f>
        <v>0</v>
      </c>
      <c r="F218" s="57" t="n">
        <f aca="false">F154*C101</f>
        <v>0</v>
      </c>
      <c r="G218" s="58" t="n">
        <f aca="false">E218</f>
        <v>0</v>
      </c>
      <c r="H218" s="57" t="n">
        <f aca="false">C101*H154</f>
        <v>0</v>
      </c>
      <c r="I218" s="58" t="n">
        <f aca="false">H218/H220</f>
        <v>0</v>
      </c>
      <c r="J218" s="57" t="n">
        <f aca="false">J154*C101</f>
        <v>0</v>
      </c>
      <c r="K218" s="58" t="n">
        <f aca="false">J218/J220</f>
        <v>0</v>
      </c>
    </row>
    <row r="219" customFormat="false" ht="15" hidden="false" customHeight="false" outlineLevel="0" collapsed="false">
      <c r="A219" s="54" t="s">
        <v>50</v>
      </c>
      <c r="B219" s="57" t="n">
        <f aca="false">B155*C102</f>
        <v>2333.9154412</v>
      </c>
      <c r="C219" s="58" t="n">
        <f aca="false">K209</f>
        <v>0.359968038353975</v>
      </c>
      <c r="D219" s="57" t="n">
        <f aca="false">D155*C102</f>
        <v>0</v>
      </c>
      <c r="E219" s="58" t="n">
        <f aca="false">D219/D220</f>
        <v>0</v>
      </c>
      <c r="F219" s="57" t="n">
        <f aca="false">F155*C102</f>
        <v>0</v>
      </c>
      <c r="G219" s="58" t="n">
        <f aca="false">E219</f>
        <v>0</v>
      </c>
      <c r="H219" s="57" t="n">
        <f aca="false">C102*H155</f>
        <v>0</v>
      </c>
      <c r="I219" s="58" t="n">
        <f aca="false">H219/H220</f>
        <v>0</v>
      </c>
      <c r="J219" s="57" t="n">
        <f aca="false">J155*C102</f>
        <v>0</v>
      </c>
      <c r="K219" s="58" t="n">
        <f aca="false">J219/J220</f>
        <v>0</v>
      </c>
    </row>
    <row r="220" customFormat="false" ht="15" hidden="false" customHeight="false" outlineLevel="0" collapsed="false">
      <c r="A220" s="54" t="s">
        <v>53</v>
      </c>
      <c r="B220" s="61" t="n">
        <f aca="false">SUM(B214:B219)</f>
        <v>6483.6740836</v>
      </c>
      <c r="C220" s="62" t="n">
        <f aca="false">SUM(C214:C219)</f>
        <v>1</v>
      </c>
      <c r="D220" s="61" t="n">
        <f aca="false">SUM(D214:D219)</f>
        <v>3319.80691392</v>
      </c>
      <c r="E220" s="62" t="n">
        <f aca="false">SUM(E214:E219)</f>
        <v>1</v>
      </c>
      <c r="F220" s="61" t="n">
        <f aca="false">SUM(F214:F219)</f>
        <v>3319.80691392</v>
      </c>
      <c r="G220" s="62" t="n">
        <f aca="false">SUM(G214:G219)</f>
        <v>1</v>
      </c>
      <c r="H220" s="61" t="n">
        <f aca="false">SUM(H214:H219)</f>
        <v>1106.60230464</v>
      </c>
      <c r="I220" s="62" t="n">
        <f aca="false">SUM(I214:I219)</f>
        <v>1</v>
      </c>
      <c r="J220" s="61" t="n">
        <f aca="false">SUM(J214:J219)</f>
        <v>2213.20460928</v>
      </c>
      <c r="K220" s="62" t="n">
        <f aca="false">SUM(K214:K219)</f>
        <v>1</v>
      </c>
    </row>
    <row r="222" customFormat="false" ht="15" hidden="false" customHeight="false" outlineLevel="0" collapsed="false">
      <c r="A222" s="54" t="s">
        <v>6</v>
      </c>
      <c r="B222" s="45" t="n">
        <v>27</v>
      </c>
      <c r="C222" s="45"/>
      <c r="D222" s="45" t="n">
        <v>28</v>
      </c>
      <c r="E222" s="45"/>
      <c r="F222" s="45" t="n">
        <v>29</v>
      </c>
      <c r="G222" s="45"/>
      <c r="H222" s="45" t="n">
        <v>30</v>
      </c>
      <c r="I222" s="45"/>
      <c r="J222" s="45"/>
      <c r="K222" s="45"/>
    </row>
    <row r="223" customFormat="false" ht="15" hidden="false" customHeight="false" outlineLevel="0" collapsed="false">
      <c r="A223" s="54" t="s">
        <v>30</v>
      </c>
      <c r="B223" s="55" t="s">
        <v>112</v>
      </c>
      <c r="C223" s="56" t="s">
        <v>109</v>
      </c>
      <c r="D223" s="55" t="s">
        <v>112</v>
      </c>
      <c r="E223" s="56" t="s">
        <v>109</v>
      </c>
      <c r="F223" s="55" t="s">
        <v>112</v>
      </c>
      <c r="G223" s="56" t="s">
        <v>109</v>
      </c>
      <c r="H223" s="55" t="s">
        <v>112</v>
      </c>
      <c r="I223" s="56" t="s">
        <v>109</v>
      </c>
      <c r="J223" s="55"/>
      <c r="K223" s="56"/>
    </row>
    <row r="224" customFormat="false" ht="15" hidden="false" customHeight="false" outlineLevel="0" collapsed="false">
      <c r="A224" s="54" t="s">
        <v>38</v>
      </c>
      <c r="B224" s="57" t="n">
        <f aca="false">B160*C97</f>
        <v>829.95172848</v>
      </c>
      <c r="C224" s="58" t="n">
        <f aca="false">B224/B230</f>
        <v>0.26232192565908</v>
      </c>
      <c r="D224" s="57" t="n">
        <f aca="false">D160*C97</f>
        <v>619.697560041985</v>
      </c>
      <c r="E224" s="60" t="n">
        <v>0.8</v>
      </c>
      <c r="F224" s="57" t="n">
        <f aca="false">F160*C97</f>
        <v>210.254449108416</v>
      </c>
      <c r="G224" s="60" t="n">
        <v>0.05</v>
      </c>
      <c r="H224" s="57" t="n">
        <f aca="false">H160*C97</f>
        <v>2213.20460928</v>
      </c>
      <c r="I224" s="58" t="n">
        <f aca="false">H224/H230</f>
        <v>1</v>
      </c>
      <c r="J224" s="57"/>
      <c r="K224" s="58"/>
    </row>
    <row r="225" customFormat="false" ht="15" hidden="false" customHeight="false" outlineLevel="0" collapsed="false">
      <c r="A225" s="54" t="s">
        <v>41</v>
      </c>
      <c r="B225" s="57" t="n">
        <f aca="false">B161*C98</f>
        <v>0</v>
      </c>
      <c r="C225" s="58" t="n">
        <f aca="false">B225/B230</f>
        <v>0</v>
      </c>
      <c r="D225" s="57" t="n">
        <f aca="false">D161*C98</f>
        <v>0</v>
      </c>
      <c r="E225" s="60" t="n">
        <v>0</v>
      </c>
      <c r="F225" s="57" t="n">
        <f aca="false">F161*C98</f>
        <v>0</v>
      </c>
      <c r="G225" s="60" t="n">
        <v>0</v>
      </c>
      <c r="H225" s="57" t="n">
        <f aca="false">H161*C98</f>
        <v>0</v>
      </c>
      <c r="I225" s="58" t="n">
        <f aca="false">H225/H230</f>
        <v>0</v>
      </c>
      <c r="J225" s="57"/>
      <c r="K225" s="58"/>
    </row>
    <row r="226" customFormat="false" ht="15" hidden="false" customHeight="false" outlineLevel="0" collapsed="false">
      <c r="A226" s="54" t="s">
        <v>43</v>
      </c>
      <c r="B226" s="57" t="n">
        <f aca="false">B162*C99</f>
        <v>0</v>
      </c>
      <c r="C226" s="58" t="n">
        <f aca="false">B226/B230</f>
        <v>0</v>
      </c>
      <c r="D226" s="57" t="n">
        <f aca="false">D162*C99</f>
        <v>0</v>
      </c>
      <c r="E226" s="60" t="n">
        <v>0</v>
      </c>
      <c r="F226" s="57" t="n">
        <f aca="false">F162*C99</f>
        <v>0</v>
      </c>
      <c r="G226" s="60" t="n">
        <v>0</v>
      </c>
      <c r="H226" s="57" t="n">
        <f aca="false">H162*C99</f>
        <v>0</v>
      </c>
      <c r="I226" s="58" t="n">
        <f aca="false">H226/H230</f>
        <v>0</v>
      </c>
      <c r="J226" s="57"/>
      <c r="K226" s="58"/>
    </row>
    <row r="227" customFormat="false" ht="15" hidden="false" customHeight="false" outlineLevel="0" collapsed="false">
      <c r="A227" s="54" t="s">
        <v>42</v>
      </c>
      <c r="B227" s="57" t="n">
        <f aca="false">B163*C100</f>
        <v>0</v>
      </c>
      <c r="C227" s="58" t="n">
        <f aca="false">B227/B230</f>
        <v>0</v>
      </c>
      <c r="D227" s="57" t="n">
        <f aca="false">D163*C100</f>
        <v>0</v>
      </c>
      <c r="E227" s="60" t="n">
        <v>0</v>
      </c>
      <c r="F227" s="57" t="n">
        <f aca="false">F163*C100</f>
        <v>0</v>
      </c>
      <c r="G227" s="60" t="n">
        <v>0</v>
      </c>
      <c r="H227" s="57" t="n">
        <f aca="false">H163*C100</f>
        <v>0</v>
      </c>
      <c r="I227" s="58" t="n">
        <f aca="false">H227/H230</f>
        <v>0</v>
      </c>
      <c r="J227" s="57"/>
      <c r="K227" s="58"/>
    </row>
    <row r="228" customFormat="false" ht="15" hidden="false" customHeight="false" outlineLevel="0" collapsed="false">
      <c r="A228" s="54" t="s">
        <v>46</v>
      </c>
      <c r="B228" s="57" t="n">
        <f aca="false">B164*C101</f>
        <v>0</v>
      </c>
      <c r="C228" s="58" t="n">
        <f aca="false">B228/B230</f>
        <v>0</v>
      </c>
      <c r="D228" s="57" t="n">
        <f aca="false">D164*C101</f>
        <v>0</v>
      </c>
      <c r="E228" s="60" t="n">
        <v>0</v>
      </c>
      <c r="F228" s="57" t="n">
        <f aca="false">F164*C101</f>
        <v>0</v>
      </c>
      <c r="G228" s="60" t="n">
        <v>0</v>
      </c>
      <c r="H228" s="57" t="n">
        <f aca="false">H164*C101</f>
        <v>0</v>
      </c>
      <c r="I228" s="58" t="n">
        <f aca="false">H228/H230</f>
        <v>0</v>
      </c>
      <c r="J228" s="57"/>
      <c r="K228" s="58"/>
    </row>
    <row r="229" customFormat="false" ht="15" hidden="false" customHeight="false" outlineLevel="0" collapsed="false">
      <c r="A229" s="54" t="s">
        <v>50</v>
      </c>
      <c r="B229" s="57" t="n">
        <f aca="false">B165*C102</f>
        <v>2333.9154412</v>
      </c>
      <c r="C229" s="58" t="n">
        <f aca="false">B229/B230</f>
        <v>0.73767807434092</v>
      </c>
      <c r="D229" s="57" t="n">
        <f aca="false">D165*C102</f>
        <v>87.1328810233814</v>
      </c>
      <c r="E229" s="60" t="n">
        <v>0.2</v>
      </c>
      <c r="F229" s="57" t="n">
        <f aca="false">F165*C102</f>
        <v>2246.78271803182</v>
      </c>
      <c r="G229" s="60" t="n">
        <v>0.95</v>
      </c>
      <c r="H229" s="57" t="n">
        <f aca="false">H165*C102</f>
        <v>0</v>
      </c>
      <c r="I229" s="58" t="n">
        <f aca="false">H229/H230</f>
        <v>0</v>
      </c>
      <c r="J229" s="57"/>
      <c r="K229" s="58"/>
    </row>
    <row r="230" customFormat="false" ht="15" hidden="false" customHeight="false" outlineLevel="0" collapsed="false">
      <c r="A230" s="54" t="s">
        <v>53</v>
      </c>
      <c r="B230" s="61" t="n">
        <f aca="false">SUM(B224:B229)</f>
        <v>3163.86716968</v>
      </c>
      <c r="C230" s="62" t="n">
        <f aca="false">SUM(C224:C229)</f>
        <v>1</v>
      </c>
      <c r="D230" s="61" t="n">
        <f aca="false">SUM(D224:D229)</f>
        <v>706.830441065366</v>
      </c>
      <c r="E230" s="64" t="n">
        <f aca="false">SUM(E224:E229)</f>
        <v>1</v>
      </c>
      <c r="F230" s="61" t="n">
        <f aca="false">SUM(F224:F229)</f>
        <v>2457.03716714023</v>
      </c>
      <c r="G230" s="64" t="n">
        <f aca="false">SUM(G224:G229)</f>
        <v>1</v>
      </c>
      <c r="H230" s="61" t="n">
        <f aca="false">SUM(H224:H229)</f>
        <v>2213.20460928</v>
      </c>
      <c r="I230" s="62" t="n">
        <f aca="false">SUM(I224:I229)</f>
        <v>1</v>
      </c>
      <c r="J230" s="61"/>
      <c r="K230" s="62"/>
    </row>
    <row r="232" customFormat="false" ht="15" hidden="false" customHeight="false" outlineLevel="0" collapsed="false">
      <c r="A232" s="66" t="s">
        <v>113</v>
      </c>
      <c r="B232" s="66"/>
      <c r="C232" s="66"/>
      <c r="D232" s="0" t="n">
        <f aca="false">300000/D210</f>
        <v>17.1339950517041</v>
      </c>
    </row>
    <row r="234" customFormat="false" ht="15" hidden="false" customHeight="false" outlineLevel="0" collapsed="false">
      <c r="A234" s="4" t="s">
        <v>114</v>
      </c>
      <c r="B234" s="4"/>
      <c r="C234" s="4"/>
      <c r="D234" s="4"/>
      <c r="E234" s="4"/>
      <c r="F234" s="4"/>
      <c r="G234" s="4"/>
      <c r="H234" s="4"/>
      <c r="I234" s="4"/>
      <c r="J234" s="4"/>
      <c r="K234" s="4"/>
    </row>
    <row r="236" customFormat="false" ht="15" hidden="false" customHeight="false" outlineLevel="0" collapsed="false">
      <c r="A236" s="54" t="s">
        <v>6</v>
      </c>
      <c r="B236" s="45" t="n">
        <v>1</v>
      </c>
      <c r="C236" s="45"/>
      <c r="D236" s="45" t="n">
        <v>2</v>
      </c>
      <c r="E236" s="45"/>
      <c r="F236" s="45" t="n">
        <v>3</v>
      </c>
      <c r="G236" s="45"/>
      <c r="H236" s="45" t="n">
        <v>4</v>
      </c>
      <c r="I236" s="45"/>
      <c r="J236" s="45" t="n">
        <v>5</v>
      </c>
      <c r="K236" s="45"/>
    </row>
    <row r="237" customFormat="false" ht="15" hidden="false" customHeight="false" outlineLevel="0" collapsed="false">
      <c r="A237" s="54" t="s">
        <v>30</v>
      </c>
      <c r="B237" s="55" t="s">
        <v>112</v>
      </c>
      <c r="C237" s="56" t="s">
        <v>109</v>
      </c>
      <c r="D237" s="55" t="s">
        <v>112</v>
      </c>
      <c r="E237" s="56" t="s">
        <v>109</v>
      </c>
      <c r="F237" s="55" t="s">
        <v>112</v>
      </c>
      <c r="G237" s="56" t="s">
        <v>109</v>
      </c>
      <c r="H237" s="55" t="s">
        <v>112</v>
      </c>
      <c r="I237" s="56" t="s">
        <v>109</v>
      </c>
      <c r="J237" s="55" t="s">
        <v>112</v>
      </c>
      <c r="K237" s="56" t="s">
        <v>109</v>
      </c>
    </row>
    <row r="238" customFormat="false" ht="15" hidden="false" customHeight="false" outlineLevel="0" collapsed="false">
      <c r="A238" s="54" t="s">
        <v>38</v>
      </c>
      <c r="B238" s="57" t="n">
        <f aca="false">B174*E97</f>
        <v>331821.361855425</v>
      </c>
      <c r="C238" s="58" t="n">
        <f aca="false">B238/B244</f>
        <v>1</v>
      </c>
      <c r="D238" s="59" t="n">
        <f aca="false">D174*E97</f>
        <v>0</v>
      </c>
      <c r="E238" s="60" t="n">
        <v>0</v>
      </c>
      <c r="F238" s="59" t="n">
        <f aca="false">F174*E97</f>
        <v>331821.361855425</v>
      </c>
      <c r="G238" s="60" t="n">
        <f aca="false">F238/F244</f>
        <v>1</v>
      </c>
      <c r="H238" s="57" t="n">
        <f aca="false">H174*E97</f>
        <v>331821.361855425</v>
      </c>
      <c r="I238" s="58" t="n">
        <f aca="false">G238</f>
        <v>1</v>
      </c>
      <c r="J238" s="57" t="n">
        <f aca="false">J174*E97</f>
        <v>0</v>
      </c>
      <c r="K238" s="58" t="n">
        <f aca="false">E238</f>
        <v>0</v>
      </c>
    </row>
    <row r="239" customFormat="false" ht="15" hidden="false" customHeight="false" outlineLevel="0" collapsed="false">
      <c r="A239" s="54" t="s">
        <v>41</v>
      </c>
      <c r="B239" s="57" t="n">
        <f aca="false">B175*E98</f>
        <v>0</v>
      </c>
      <c r="C239" s="58" t="n">
        <f aca="false">B239/B244</f>
        <v>0</v>
      </c>
      <c r="D239" s="59" t="n">
        <f aca="false">D175*E98</f>
        <v>193700.547375238</v>
      </c>
      <c r="E239" s="60" t="n">
        <v>0.23</v>
      </c>
      <c r="F239" s="59" t="n">
        <f aca="false">F175*E98</f>
        <v>0</v>
      </c>
      <c r="G239" s="60" t="n">
        <f aca="false">F239/F244</f>
        <v>0</v>
      </c>
      <c r="H239" s="57" t="n">
        <f aca="false">H175*E98</f>
        <v>0</v>
      </c>
      <c r="I239" s="58" t="n">
        <f aca="false">E239</f>
        <v>0.23</v>
      </c>
      <c r="J239" s="57" t="n">
        <f aca="false">J175*E98</f>
        <v>193700.547375238</v>
      </c>
      <c r="K239" s="58" t="n">
        <f aca="false">E239</f>
        <v>0.23</v>
      </c>
    </row>
    <row r="240" customFormat="false" ht="15" hidden="false" customHeight="false" outlineLevel="0" collapsed="false">
      <c r="A240" s="54" t="s">
        <v>43</v>
      </c>
      <c r="B240" s="57" t="n">
        <f aca="false">B176*E99</f>
        <v>0</v>
      </c>
      <c r="C240" s="58" t="n">
        <f aca="false">B240/B244</f>
        <v>0</v>
      </c>
      <c r="D240" s="59" t="n">
        <f aca="false">D176*E99</f>
        <v>168435.258587164</v>
      </c>
      <c r="E240" s="60" t="n">
        <v>0.2</v>
      </c>
      <c r="F240" s="59" t="n">
        <f aca="false">F176*E99</f>
        <v>0</v>
      </c>
      <c r="G240" s="60" t="n">
        <f aca="false">F240/F244</f>
        <v>0</v>
      </c>
      <c r="H240" s="57" t="n">
        <f aca="false">H176*E99</f>
        <v>0</v>
      </c>
      <c r="I240" s="58" t="n">
        <f aca="false">E240</f>
        <v>0.2</v>
      </c>
      <c r="J240" s="57" t="n">
        <f aca="false">J176*E99</f>
        <v>168435.258587164</v>
      </c>
      <c r="K240" s="58" t="n">
        <f aca="false">E240</f>
        <v>0.2</v>
      </c>
    </row>
    <row r="241" customFormat="false" ht="15" hidden="false" customHeight="false" outlineLevel="0" collapsed="false">
      <c r="A241" s="54" t="s">
        <v>42</v>
      </c>
      <c r="B241" s="57" t="n">
        <f aca="false">B177*E100</f>
        <v>0</v>
      </c>
      <c r="C241" s="58" t="n">
        <f aca="false">B241/B244</f>
        <v>0</v>
      </c>
      <c r="D241" s="59" t="n">
        <f aca="false">D177*E100</f>
        <v>480040.486973416</v>
      </c>
      <c r="E241" s="60" t="n">
        <v>0.57</v>
      </c>
      <c r="F241" s="59" t="n">
        <f aca="false">F177*E100</f>
        <v>0</v>
      </c>
      <c r="G241" s="60" t="n">
        <f aca="false">F241/F244</f>
        <v>0</v>
      </c>
      <c r="H241" s="57" t="n">
        <f aca="false">H177*E100</f>
        <v>0</v>
      </c>
      <c r="I241" s="58" t="n">
        <f aca="false">E241</f>
        <v>0.57</v>
      </c>
      <c r="J241" s="57" t="n">
        <f aca="false">J177*E100</f>
        <v>480040.486973416</v>
      </c>
      <c r="K241" s="58" t="n">
        <f aca="false">E241</f>
        <v>0.57</v>
      </c>
    </row>
    <row r="242" customFormat="false" ht="15" hidden="false" customHeight="false" outlineLevel="0" collapsed="false">
      <c r="A242" s="54" t="s">
        <v>46</v>
      </c>
      <c r="B242" s="57" t="n">
        <f aca="false">B178*E101</f>
        <v>0</v>
      </c>
      <c r="C242" s="58" t="n">
        <f aca="false">B242/B244</f>
        <v>0</v>
      </c>
      <c r="D242" s="59" t="n">
        <f aca="false">D178*E101</f>
        <v>0</v>
      </c>
      <c r="E242" s="60" t="n">
        <v>0</v>
      </c>
      <c r="F242" s="59" t="n">
        <f aca="false">F178*E101</f>
        <v>0</v>
      </c>
      <c r="G242" s="60" t="n">
        <f aca="false">F242/F244</f>
        <v>0</v>
      </c>
      <c r="H242" s="57" t="n">
        <f aca="false">H178*E101</f>
        <v>0</v>
      </c>
      <c r="I242" s="58" t="n">
        <f aca="false">E242</f>
        <v>0</v>
      </c>
      <c r="J242" s="57" t="n">
        <f aca="false">J178*E101</f>
        <v>0</v>
      </c>
      <c r="K242" s="58" t="n">
        <f aca="false">E242</f>
        <v>0</v>
      </c>
    </row>
    <row r="243" customFormat="false" ht="15" hidden="false" customHeight="false" outlineLevel="0" collapsed="false">
      <c r="A243" s="54" t="s">
        <v>50</v>
      </c>
      <c r="B243" s="57" t="n">
        <f aca="false">B179*E102</f>
        <v>0</v>
      </c>
      <c r="C243" s="58" t="n">
        <f aca="false">B243/B244</f>
        <v>0</v>
      </c>
      <c r="D243" s="59" t="n">
        <f aca="false">D179*E102</f>
        <v>0</v>
      </c>
      <c r="E243" s="60" t="n">
        <v>0</v>
      </c>
      <c r="F243" s="59" t="n">
        <f aca="false">F179*E102</f>
        <v>0</v>
      </c>
      <c r="G243" s="60" t="n">
        <f aca="false">F243/F244</f>
        <v>0</v>
      </c>
      <c r="H243" s="57" t="n">
        <f aca="false">H179*E102</f>
        <v>0</v>
      </c>
      <c r="I243" s="58" t="n">
        <f aca="false">E243</f>
        <v>0</v>
      </c>
      <c r="J243" s="57" t="n">
        <f aca="false">J179*E102</f>
        <v>0</v>
      </c>
      <c r="K243" s="58" t="n">
        <f aca="false">E243</f>
        <v>0</v>
      </c>
    </row>
    <row r="244" customFormat="false" ht="15" hidden="false" customHeight="false" outlineLevel="0" collapsed="false">
      <c r="A244" s="54" t="s">
        <v>53</v>
      </c>
      <c r="B244" s="61" t="n">
        <f aca="false">SUM(B238:B243)</f>
        <v>331821.361855425</v>
      </c>
      <c r="C244" s="62" t="n">
        <f aca="false">SUM(C238:C243)</f>
        <v>1</v>
      </c>
      <c r="D244" s="63" t="n">
        <f aca="false">SUM(D238:D243)</f>
        <v>842176.292935818</v>
      </c>
      <c r="E244" s="64" t="n">
        <f aca="false">SUM(E238:E243)</f>
        <v>1</v>
      </c>
      <c r="F244" s="63" t="n">
        <f aca="false">SUM(F238:F243)</f>
        <v>331821.361855425</v>
      </c>
      <c r="G244" s="64" t="n">
        <f aca="false">SUM(G238:G243)</f>
        <v>1</v>
      </c>
      <c r="H244" s="61" t="n">
        <f aca="false">SUM(H238:H243)</f>
        <v>331821.361855425</v>
      </c>
      <c r="I244" s="62" t="n">
        <f aca="false">SUM(I238:I243)</f>
        <v>2</v>
      </c>
      <c r="J244" s="61" t="n">
        <f aca="false">SUM(J238:J243)</f>
        <v>842176.292935818</v>
      </c>
      <c r="K244" s="62" t="n">
        <f aca="false">SUM(K238:K243)</f>
        <v>1</v>
      </c>
    </row>
    <row r="246" customFormat="false" ht="15" hidden="false" customHeight="false" outlineLevel="0" collapsed="false">
      <c r="A246" s="54" t="s">
        <v>6</v>
      </c>
      <c r="B246" s="45" t="n">
        <v>6</v>
      </c>
      <c r="C246" s="45"/>
      <c r="D246" s="45" t="n">
        <v>7</v>
      </c>
      <c r="E246" s="45"/>
      <c r="F246" s="45" t="n">
        <v>8</v>
      </c>
      <c r="G246" s="45"/>
      <c r="H246" s="45" t="n">
        <v>9</v>
      </c>
      <c r="I246" s="45"/>
      <c r="J246" s="45" t="n">
        <v>10</v>
      </c>
      <c r="K246" s="45"/>
    </row>
    <row r="247" customFormat="false" ht="15" hidden="false" customHeight="false" outlineLevel="0" collapsed="false">
      <c r="A247" s="54" t="s">
        <v>30</v>
      </c>
      <c r="B247" s="55" t="s">
        <v>112</v>
      </c>
      <c r="C247" s="56" t="s">
        <v>109</v>
      </c>
      <c r="D247" s="55" t="s">
        <v>112</v>
      </c>
      <c r="E247" s="56" t="s">
        <v>109</v>
      </c>
      <c r="F247" s="55" t="s">
        <v>112</v>
      </c>
      <c r="G247" s="56" t="s">
        <v>109</v>
      </c>
      <c r="H247" s="55" t="s">
        <v>112</v>
      </c>
      <c r="I247" s="56" t="s">
        <v>109</v>
      </c>
      <c r="J247" s="55" t="s">
        <v>112</v>
      </c>
      <c r="K247" s="56" t="s">
        <v>109</v>
      </c>
    </row>
    <row r="248" customFormat="false" ht="15" hidden="false" customHeight="false" outlineLevel="0" collapsed="false">
      <c r="A248" s="54" t="s">
        <v>38</v>
      </c>
      <c r="B248" s="57" t="n">
        <f aca="false">B184*E97</f>
        <v>331821.361855425</v>
      </c>
      <c r="C248" s="58" t="n">
        <f aca="false">B248/B254</f>
        <v>0.282642269770486</v>
      </c>
      <c r="D248" s="57" t="n">
        <f aca="false">D184*E97</f>
        <v>331821.361855425</v>
      </c>
      <c r="E248" s="58" t="n">
        <f aca="false">C248</f>
        <v>0.282642269770486</v>
      </c>
      <c r="F248" s="57" t="n">
        <f aca="false">F184*E97</f>
        <v>224532.454855504</v>
      </c>
      <c r="G248" s="58" t="n">
        <f aca="false">F248/F254</f>
        <v>0.191254602544696</v>
      </c>
      <c r="H248" s="57" t="n">
        <f aca="false">H184*E97</f>
        <v>224532.454855504</v>
      </c>
      <c r="I248" s="58" t="n">
        <f aca="false">G248</f>
        <v>0.191254602544696</v>
      </c>
      <c r="J248" s="57" t="n">
        <f aca="false">J184*E97</f>
        <v>224532.454855504</v>
      </c>
      <c r="K248" s="58" t="n">
        <f aca="false">I248</f>
        <v>0.191254602544696</v>
      </c>
    </row>
    <row r="249" customFormat="false" ht="15" hidden="false" customHeight="false" outlineLevel="0" collapsed="false">
      <c r="A249" s="54" t="s">
        <v>41</v>
      </c>
      <c r="B249" s="57" t="n">
        <f aca="false">B185*E98</f>
        <v>193700.547375238</v>
      </c>
      <c r="C249" s="58" t="n">
        <f aca="false">B249/B254</f>
        <v>0.164992277952788</v>
      </c>
      <c r="D249" s="57" t="n">
        <f aca="false">D185*E98</f>
        <v>193700.547375238</v>
      </c>
      <c r="E249" s="58" t="n">
        <f aca="false">C249</f>
        <v>0.164992277952788</v>
      </c>
      <c r="F249" s="57" t="n">
        <f aca="false">F185*E98</f>
        <v>5811.01642125715</v>
      </c>
      <c r="G249" s="58" t="n">
        <f aca="false">F249/F254</f>
        <v>0.00494976833858365</v>
      </c>
      <c r="H249" s="57" t="n">
        <f aca="false">H185*E98</f>
        <v>5811.01642125715</v>
      </c>
      <c r="I249" s="58" t="n">
        <f aca="false">G249</f>
        <v>0.00494976833858365</v>
      </c>
      <c r="J249" s="57" t="n">
        <f aca="false">J185*E98</f>
        <v>5811.01642125715</v>
      </c>
      <c r="K249" s="58" t="n">
        <f aca="false">I249</f>
        <v>0.00494976833858365</v>
      </c>
    </row>
    <row r="250" customFormat="false" ht="15" hidden="false" customHeight="false" outlineLevel="0" collapsed="false">
      <c r="A250" s="54" t="s">
        <v>43</v>
      </c>
      <c r="B250" s="57" t="n">
        <f aca="false">B186*E99</f>
        <v>168435.258587164</v>
      </c>
      <c r="C250" s="58" t="n">
        <f aca="false">B250/B254</f>
        <v>0.143471546045903</v>
      </c>
      <c r="D250" s="57" t="n">
        <f aca="false">D186*E99</f>
        <v>168435.258587164</v>
      </c>
      <c r="E250" s="58" t="n">
        <f aca="false">C250</f>
        <v>0.143471546045903</v>
      </c>
      <c r="F250" s="57" t="n">
        <f aca="false">F186*E99</f>
        <v>168435.258587164</v>
      </c>
      <c r="G250" s="58" t="n">
        <f aca="false">F250/F254</f>
        <v>0.143471546045903</v>
      </c>
      <c r="H250" s="57" t="n">
        <f aca="false">H186*E99</f>
        <v>168435.258587164</v>
      </c>
      <c r="I250" s="58" t="n">
        <f aca="false">G250</f>
        <v>0.143471546045903</v>
      </c>
      <c r="J250" s="57" t="n">
        <f aca="false">J186*E99</f>
        <v>168435.258587164</v>
      </c>
      <c r="K250" s="58" t="n">
        <f aca="false">I250</f>
        <v>0.143471546045903</v>
      </c>
    </row>
    <row r="251" customFormat="false" ht="15" hidden="false" customHeight="false" outlineLevel="0" collapsed="false">
      <c r="A251" s="54" t="s">
        <v>42</v>
      </c>
      <c r="B251" s="57" t="n">
        <f aca="false">B187*E100</f>
        <v>480040.486973416</v>
      </c>
      <c r="C251" s="58" t="n">
        <f aca="false">B251/B254</f>
        <v>0.408893906230823</v>
      </c>
      <c r="D251" s="57" t="n">
        <f aca="false">D187*E100</f>
        <v>480040.486973416</v>
      </c>
      <c r="E251" s="58" t="n">
        <f aca="false">C251</f>
        <v>0.408893906230823</v>
      </c>
      <c r="F251" s="57" t="n">
        <f aca="false">F187*E100</f>
        <v>480040.486973416</v>
      </c>
      <c r="G251" s="58" t="n">
        <f aca="false">F251/F254</f>
        <v>0.408893906230823</v>
      </c>
      <c r="H251" s="57" t="n">
        <f aca="false">H187*E100</f>
        <v>480040.486973416</v>
      </c>
      <c r="I251" s="58" t="n">
        <f aca="false">G251</f>
        <v>0.408893906230823</v>
      </c>
      <c r="J251" s="57" t="n">
        <f aca="false">J187*E100</f>
        <v>480040.486973416</v>
      </c>
      <c r="K251" s="58" t="n">
        <f aca="false">I251</f>
        <v>0.408893906230823</v>
      </c>
    </row>
    <row r="252" customFormat="false" ht="15" hidden="false" customHeight="false" outlineLevel="0" collapsed="false">
      <c r="A252" s="54" t="s">
        <v>46</v>
      </c>
      <c r="B252" s="57" t="n">
        <f aca="false">B188*E101</f>
        <v>0</v>
      </c>
      <c r="C252" s="58" t="n">
        <f aca="false">B252/B254</f>
        <v>0</v>
      </c>
      <c r="D252" s="57" t="n">
        <f aca="false">D188*E101</f>
        <v>0</v>
      </c>
      <c r="E252" s="58" t="n">
        <f aca="false">C252</f>
        <v>0</v>
      </c>
      <c r="F252" s="57" t="n">
        <f aca="false">F188*E101</f>
        <v>295178.437953902</v>
      </c>
      <c r="G252" s="58" t="n">
        <f aca="false">F252/F254</f>
        <v>0.251430176839995</v>
      </c>
      <c r="H252" s="57" t="n">
        <f aca="false">H188*E101</f>
        <v>295178.437953902</v>
      </c>
      <c r="I252" s="58" t="n">
        <f aca="false">G252</f>
        <v>0.251430176839995</v>
      </c>
      <c r="J252" s="57" t="n">
        <f aca="false">J188*E101</f>
        <v>295178.437953902</v>
      </c>
      <c r="K252" s="58" t="n">
        <f aca="false">I252</f>
        <v>0.251430176839995</v>
      </c>
    </row>
    <row r="253" customFormat="false" ht="15" hidden="false" customHeight="false" outlineLevel="0" collapsed="false">
      <c r="A253" s="54" t="s">
        <v>50</v>
      </c>
      <c r="B253" s="57" t="n">
        <f aca="false">B189*E102</f>
        <v>0</v>
      </c>
      <c r="C253" s="58" t="n">
        <f aca="false">B253/B254</f>
        <v>0</v>
      </c>
      <c r="D253" s="57" t="n">
        <f aca="false">D189*E102</f>
        <v>0</v>
      </c>
      <c r="E253" s="58" t="n">
        <f aca="false">C253</f>
        <v>0</v>
      </c>
      <c r="F253" s="57" t="n">
        <f aca="false">F189*E102</f>
        <v>0</v>
      </c>
      <c r="G253" s="58" t="n">
        <f aca="false">F253/F254</f>
        <v>0</v>
      </c>
      <c r="H253" s="57" t="n">
        <f aca="false">H189*E102</f>
        <v>0</v>
      </c>
      <c r="I253" s="58" t="n">
        <f aca="false">G253</f>
        <v>0</v>
      </c>
      <c r="J253" s="57" t="n">
        <f aca="false">J189*E102</f>
        <v>0</v>
      </c>
      <c r="K253" s="58" t="n">
        <f aca="false">I253</f>
        <v>0</v>
      </c>
    </row>
    <row r="254" customFormat="false" ht="15" hidden="false" customHeight="false" outlineLevel="0" collapsed="false">
      <c r="A254" s="54" t="s">
        <v>53</v>
      </c>
      <c r="B254" s="61" t="n">
        <f aca="false">SUM(B248:B253)</f>
        <v>1173997.65479124</v>
      </c>
      <c r="C254" s="62" t="n">
        <f aca="false">SUM(C248:C253)</f>
        <v>1</v>
      </c>
      <c r="D254" s="61" t="n">
        <f aca="false">SUM(D248:D253)</f>
        <v>1173997.65479124</v>
      </c>
      <c r="E254" s="62" t="n">
        <f aca="false">SUM(E248:E253)</f>
        <v>1</v>
      </c>
      <c r="F254" s="61" t="n">
        <f aca="false">SUM(F248:F253)</f>
        <v>1173997.65479124</v>
      </c>
      <c r="G254" s="62" t="n">
        <f aca="false">SUM(G248:G253)</f>
        <v>1</v>
      </c>
      <c r="H254" s="61" t="n">
        <f aca="false">SUM(H248:H253)</f>
        <v>1173997.65479124</v>
      </c>
      <c r="I254" s="62" t="n">
        <f aca="false">SUM(I248:I253)</f>
        <v>1</v>
      </c>
      <c r="J254" s="61" t="n">
        <f aca="false">SUM(J248:J253)</f>
        <v>1173997.65479124</v>
      </c>
      <c r="K254" s="62" t="n">
        <f aca="false">SUM(K248:K253)</f>
        <v>1</v>
      </c>
    </row>
    <row r="256" customFormat="false" ht="15" hidden="false" customHeight="false" outlineLevel="0" collapsed="false">
      <c r="A256" s="54" t="s">
        <v>6</v>
      </c>
      <c r="B256" s="45" t="n">
        <v>11</v>
      </c>
      <c r="C256" s="45"/>
      <c r="D256" s="45" t="n">
        <v>12</v>
      </c>
      <c r="E256" s="45"/>
      <c r="F256" s="45" t="n">
        <v>13</v>
      </c>
      <c r="G256" s="45"/>
      <c r="H256" s="45" t="n">
        <v>14</v>
      </c>
      <c r="I256" s="45"/>
      <c r="J256" s="45" t="n">
        <v>15</v>
      </c>
      <c r="K256" s="45"/>
    </row>
    <row r="257" customFormat="false" ht="15" hidden="false" customHeight="false" outlineLevel="0" collapsed="false">
      <c r="A257" s="54" t="s">
        <v>30</v>
      </c>
      <c r="B257" s="55" t="s">
        <v>112</v>
      </c>
      <c r="C257" s="56" t="s">
        <v>109</v>
      </c>
      <c r="D257" s="55" t="s">
        <v>112</v>
      </c>
      <c r="E257" s="56" t="s">
        <v>109</v>
      </c>
      <c r="F257" s="55" t="s">
        <v>112</v>
      </c>
      <c r="G257" s="56" t="s">
        <v>109</v>
      </c>
      <c r="H257" s="55" t="s">
        <v>112</v>
      </c>
      <c r="I257" s="56" t="s">
        <v>109</v>
      </c>
      <c r="J257" s="55" t="s">
        <v>112</v>
      </c>
      <c r="K257" s="56" t="s">
        <v>109</v>
      </c>
    </row>
    <row r="258" customFormat="false" ht="15" hidden="false" customHeight="false" outlineLevel="0" collapsed="false">
      <c r="A258" s="54" t="s">
        <v>38</v>
      </c>
      <c r="B258" s="57" t="n">
        <f aca="false">B194*E97</f>
        <v>213305.832112729</v>
      </c>
      <c r="C258" s="58" t="n">
        <f aca="false">B258/B264</f>
        <v>0.245859443204836</v>
      </c>
      <c r="D258" s="57" t="n">
        <f aca="false">D194*E97</f>
        <v>213305.832112729</v>
      </c>
      <c r="E258" s="58" t="n">
        <f aca="false">C258</f>
        <v>0.245859443204836</v>
      </c>
      <c r="F258" s="57" t="n">
        <f aca="false">F194*E97</f>
        <v>142203.888075153</v>
      </c>
      <c r="G258" s="58" t="n">
        <f aca="false">F258/F264</f>
        <v>0.245859443204836</v>
      </c>
      <c r="H258" s="57" t="n">
        <f aca="false">H194*E97</f>
        <v>71101.9440375763</v>
      </c>
      <c r="I258" s="58" t="n">
        <f aca="false">H258/H264</f>
        <v>0.245859443204836</v>
      </c>
      <c r="J258" s="57" t="n">
        <f aca="false">J194*E97</f>
        <v>11226.6227427752</v>
      </c>
      <c r="K258" s="58" t="n">
        <f aca="false">J258/J264</f>
        <v>0.0366398084850462</v>
      </c>
    </row>
    <row r="259" customFormat="false" ht="15" hidden="false" customHeight="false" outlineLevel="0" collapsed="false">
      <c r="A259" s="54" t="s">
        <v>41</v>
      </c>
      <c r="B259" s="57" t="n">
        <f aca="false">B195*E98</f>
        <v>5811.01642125715</v>
      </c>
      <c r="C259" s="58" t="n">
        <f aca="false">B259/B264</f>
        <v>0.0066978630993521</v>
      </c>
      <c r="D259" s="57" t="n">
        <f aca="false">D195*E98</f>
        <v>5811.01642125715</v>
      </c>
      <c r="E259" s="58" t="n">
        <f aca="false">C259</f>
        <v>0.0066978630993521</v>
      </c>
      <c r="F259" s="57" t="n">
        <f aca="false">F195*E98</f>
        <v>3874.01094750477</v>
      </c>
      <c r="G259" s="58" t="n">
        <f aca="false">F259/F264</f>
        <v>0.0066978630993521</v>
      </c>
      <c r="H259" s="57" t="n">
        <f aca="false">H195*E98</f>
        <v>1937.00547375239</v>
      </c>
      <c r="I259" s="58" t="n">
        <f aca="false">H259/H264</f>
        <v>0.0066978630993521</v>
      </c>
      <c r="J259" s="57" t="n">
        <f aca="false">J195*E98</f>
        <v>0</v>
      </c>
      <c r="K259" s="58" t="n">
        <f aca="false">J259/J264</f>
        <v>0</v>
      </c>
    </row>
    <row r="260" customFormat="false" ht="15" hidden="false" customHeight="false" outlineLevel="0" collapsed="false">
      <c r="A260" s="54" t="s">
        <v>43</v>
      </c>
      <c r="B260" s="57" t="n">
        <f aca="false">B196*E99</f>
        <v>168435.258587164</v>
      </c>
      <c r="C260" s="58" t="n">
        <f aca="false">B260/B264</f>
        <v>0.19414095940151</v>
      </c>
      <c r="D260" s="57" t="n">
        <f aca="false">D196*E99</f>
        <v>168435.258587164</v>
      </c>
      <c r="E260" s="58" t="n">
        <f aca="false">C260</f>
        <v>0.19414095940151</v>
      </c>
      <c r="F260" s="57" t="n">
        <f aca="false">F196*E99</f>
        <v>112290.172391442</v>
      </c>
      <c r="G260" s="58" t="n">
        <f aca="false">F260/F264</f>
        <v>0.19414095940151</v>
      </c>
      <c r="H260" s="57" t="n">
        <f aca="false">H196*E99</f>
        <v>56145.0861957212</v>
      </c>
      <c r="I260" s="58" t="n">
        <f aca="false">H260/H264</f>
        <v>0.19414095940151</v>
      </c>
      <c r="J260" s="57" t="n">
        <f aca="false">J196*E99</f>
        <v>0</v>
      </c>
      <c r="K260" s="58" t="n">
        <f aca="false">J260/J264</f>
        <v>0</v>
      </c>
    </row>
    <row r="261" customFormat="false" ht="15" hidden="false" customHeight="false" outlineLevel="0" collapsed="false">
      <c r="A261" s="54" t="s">
        <v>42</v>
      </c>
      <c r="B261" s="57" t="n">
        <f aca="false">B197*E100</f>
        <v>480040.486973416</v>
      </c>
      <c r="C261" s="58" t="n">
        <f aca="false">B261/B264</f>
        <v>0.553301734294303</v>
      </c>
      <c r="D261" s="57" t="n">
        <f aca="false">D197*E100</f>
        <v>480040.486973416</v>
      </c>
      <c r="E261" s="58" t="n">
        <f aca="false">C261</f>
        <v>0.553301734294303</v>
      </c>
      <c r="F261" s="57" t="n">
        <f aca="false">F197*E100</f>
        <v>320026.991315611</v>
      </c>
      <c r="G261" s="58" t="n">
        <f aca="false">F261/F264</f>
        <v>0.553301734294303</v>
      </c>
      <c r="H261" s="57" t="n">
        <f aca="false">H197*E100</f>
        <v>160013.495657805</v>
      </c>
      <c r="I261" s="58" t="n">
        <f aca="false">H261/H264</f>
        <v>0.553301734294303</v>
      </c>
      <c r="J261" s="57" t="n">
        <f aca="false">J197*E100</f>
        <v>0</v>
      </c>
      <c r="K261" s="58" t="n">
        <f aca="false">J261/J264</f>
        <v>0</v>
      </c>
    </row>
    <row r="262" customFormat="false" ht="15" hidden="false" customHeight="false" outlineLevel="0" collapsed="false">
      <c r="A262" s="54" t="s">
        <v>46</v>
      </c>
      <c r="B262" s="57" t="n">
        <f aca="false">B198*E101</f>
        <v>0</v>
      </c>
      <c r="C262" s="58" t="n">
        <f aca="false">B262/B264</f>
        <v>0</v>
      </c>
      <c r="D262" s="57" t="n">
        <f aca="false">D198*E101</f>
        <v>0</v>
      </c>
      <c r="E262" s="58" t="n">
        <f aca="false">C262</f>
        <v>0</v>
      </c>
      <c r="F262" s="57" t="n">
        <f aca="false">F198*E101</f>
        <v>0</v>
      </c>
      <c r="G262" s="58" t="n">
        <f aca="false">F262/F264</f>
        <v>0</v>
      </c>
      <c r="H262" s="57" t="n">
        <f aca="false">H198*E101</f>
        <v>0</v>
      </c>
      <c r="I262" s="58" t="n">
        <f aca="false">H262/H264</f>
        <v>0</v>
      </c>
      <c r="J262" s="57" t="n">
        <f aca="false">J198*E101</f>
        <v>295178.437953902</v>
      </c>
      <c r="K262" s="58" t="n">
        <f aca="false">J262/J264</f>
        <v>0.963360191514954</v>
      </c>
    </row>
    <row r="263" customFormat="false" ht="15" hidden="false" customHeight="false" outlineLevel="0" collapsed="false">
      <c r="A263" s="54" t="s">
        <v>50</v>
      </c>
      <c r="B263" s="57" t="n">
        <f aca="false">B199*E102</f>
        <v>0</v>
      </c>
      <c r="C263" s="58" t="n">
        <f aca="false">B263/B264</f>
        <v>0</v>
      </c>
      <c r="D263" s="57" t="n">
        <f aca="false">D199*E102</f>
        <v>0</v>
      </c>
      <c r="E263" s="58" t="n">
        <f aca="false">C263</f>
        <v>0</v>
      </c>
      <c r="F263" s="57" t="n">
        <f aca="false">F199*E102</f>
        <v>0</v>
      </c>
      <c r="G263" s="58" t="n">
        <f aca="false">F263/F264</f>
        <v>0</v>
      </c>
      <c r="H263" s="57" t="n">
        <f aca="false">H199*E102</f>
        <v>0</v>
      </c>
      <c r="I263" s="58" t="n">
        <f aca="false">H263/H264</f>
        <v>0</v>
      </c>
      <c r="J263" s="57" t="n">
        <f aca="false">J199*E102</f>
        <v>0</v>
      </c>
      <c r="K263" s="58" t="n">
        <f aca="false">J263/J264</f>
        <v>0</v>
      </c>
    </row>
    <row r="264" customFormat="false" ht="15" hidden="false" customHeight="false" outlineLevel="0" collapsed="false">
      <c r="A264" s="54" t="s">
        <v>53</v>
      </c>
      <c r="B264" s="61" t="n">
        <f aca="false">SUM(B258:B263)</f>
        <v>867592.594094566</v>
      </c>
      <c r="C264" s="62" t="n">
        <f aca="false">SUM(C258:C263)</f>
        <v>1</v>
      </c>
      <c r="D264" s="61" t="n">
        <f aca="false">SUM(D258:D263)</f>
        <v>867592.594094566</v>
      </c>
      <c r="E264" s="62" t="n">
        <f aca="false">SUM(E258:E263)</f>
        <v>1</v>
      </c>
      <c r="F264" s="61" t="n">
        <f aca="false">SUM(F258:F263)</f>
        <v>578395.062729711</v>
      </c>
      <c r="G264" s="62" t="n">
        <f aca="false">SUM(G258:G263)</f>
        <v>1</v>
      </c>
      <c r="H264" s="61" t="n">
        <f aca="false">SUM(H258:H263)</f>
        <v>289197.531364855</v>
      </c>
      <c r="I264" s="62" t="n">
        <f aca="false">SUM(I258:I263)</f>
        <v>1</v>
      </c>
      <c r="J264" s="61" t="n">
        <f aca="false">SUM(J258:J263)</f>
        <v>306405.060696677</v>
      </c>
      <c r="K264" s="62" t="n">
        <f aca="false">SUM(K258:K263)</f>
        <v>1</v>
      </c>
    </row>
    <row r="266" customFormat="false" ht="15" hidden="false" customHeight="false" outlineLevel="0" collapsed="false">
      <c r="A266" s="54" t="s">
        <v>6</v>
      </c>
      <c r="B266" s="45" t="n">
        <v>16</v>
      </c>
      <c r="C266" s="45"/>
      <c r="D266" s="45" t="n">
        <v>17</v>
      </c>
      <c r="E266" s="45"/>
      <c r="F266" s="45" t="n">
        <v>19</v>
      </c>
      <c r="G266" s="45"/>
      <c r="H266" s="45" t="n">
        <v>20</v>
      </c>
      <c r="I266" s="45"/>
      <c r="J266" s="45" t="n">
        <v>21</v>
      </c>
      <c r="K266" s="45"/>
    </row>
    <row r="267" customFormat="false" ht="15" hidden="false" customHeight="false" outlineLevel="0" collapsed="false">
      <c r="A267" s="54" t="s">
        <v>30</v>
      </c>
      <c r="B267" s="55" t="s">
        <v>112</v>
      </c>
      <c r="C267" s="56" t="s">
        <v>109</v>
      </c>
      <c r="D267" s="55" t="s">
        <v>112</v>
      </c>
      <c r="E267" s="56" t="s">
        <v>109</v>
      </c>
      <c r="F267" s="55" t="s">
        <v>112</v>
      </c>
      <c r="G267" s="56" t="s">
        <v>109</v>
      </c>
      <c r="H267" s="55" t="s">
        <v>112</v>
      </c>
      <c r="I267" s="56" t="s">
        <v>109</v>
      </c>
      <c r="J267" s="55" t="s">
        <v>112</v>
      </c>
      <c r="K267" s="56" t="s">
        <v>109</v>
      </c>
    </row>
    <row r="268" customFormat="false" ht="15" hidden="false" customHeight="false" outlineLevel="0" collapsed="false">
      <c r="A268" s="54" t="s">
        <v>38</v>
      </c>
      <c r="B268" s="57" t="n">
        <f aca="false">B204*E97</f>
        <v>5595.3377142871</v>
      </c>
      <c r="C268" s="60" t="n">
        <v>0.95</v>
      </c>
      <c r="D268" s="57" t="n">
        <f aca="false">D204*E97</f>
        <v>5631.28502848811</v>
      </c>
      <c r="E268" s="60" t="n">
        <v>0.05</v>
      </c>
      <c r="F268" s="57" t="n">
        <f aca="false">F204*E97</f>
        <v>0</v>
      </c>
      <c r="G268" s="58" t="n">
        <f aca="false">F268/F274</f>
        <v>0</v>
      </c>
      <c r="H268" s="57" t="n">
        <f aca="false">H204*E97</f>
        <v>0</v>
      </c>
      <c r="I268" s="58" t="n">
        <f aca="false">H268/H274</f>
        <v>0</v>
      </c>
      <c r="J268" s="57" t="n">
        <f aca="false">J204*E97</f>
        <v>71101.9440375763</v>
      </c>
      <c r="K268" s="58" t="n">
        <f aca="false">J268/J274</f>
        <v>0.640031961646025</v>
      </c>
    </row>
    <row r="269" customFormat="false" ht="15" hidden="false" customHeight="false" outlineLevel="0" collapsed="false">
      <c r="A269" s="54" t="s">
        <v>41</v>
      </c>
      <c r="B269" s="57" t="n">
        <f aca="false">B204*C161</f>
        <v>0</v>
      </c>
      <c r="C269" s="60" t="n">
        <v>0</v>
      </c>
      <c r="D269" s="57" t="n">
        <f aca="false">D205*E98</f>
        <v>0</v>
      </c>
      <c r="E269" s="60" t="n">
        <v>0</v>
      </c>
      <c r="F269" s="57" t="n">
        <f aca="false">F205*E98</f>
        <v>0</v>
      </c>
      <c r="G269" s="58" t="n">
        <f aca="false">F269/F274</f>
        <v>0</v>
      </c>
      <c r="H269" s="57" t="n">
        <f aca="false">H205*E98</f>
        <v>1937.00547375239</v>
      </c>
      <c r="I269" s="58" t="n">
        <f aca="false">H269/H274</f>
        <v>0.0088814519243146</v>
      </c>
      <c r="J269" s="57" t="n">
        <f aca="false">J205*E98</f>
        <v>0</v>
      </c>
      <c r="K269" s="58" t="n">
        <f aca="false">J269/J274</f>
        <v>0</v>
      </c>
    </row>
    <row r="270" customFormat="false" ht="15" hidden="false" customHeight="false" outlineLevel="0" collapsed="false">
      <c r="A270" s="54" t="s">
        <v>43</v>
      </c>
      <c r="B270" s="57" t="n">
        <f aca="false">B205*C162</f>
        <v>0</v>
      </c>
      <c r="C270" s="60" t="n">
        <v>0</v>
      </c>
      <c r="D270" s="57" t="n">
        <f aca="false">D206*E99</f>
        <v>0</v>
      </c>
      <c r="E270" s="60" t="n">
        <v>0</v>
      </c>
      <c r="F270" s="57" t="n">
        <f aca="false">F206*E99</f>
        <v>0</v>
      </c>
      <c r="G270" s="58" t="n">
        <f aca="false">F270/F274</f>
        <v>0</v>
      </c>
      <c r="H270" s="57" t="n">
        <f aca="false">H206*E99</f>
        <v>56145.0861957212</v>
      </c>
      <c r="I270" s="58" t="n">
        <f aca="false">H270/H274</f>
        <v>0.257433389110568</v>
      </c>
      <c r="J270" s="57" t="n">
        <f aca="false">J206*E99</f>
        <v>0</v>
      </c>
      <c r="K270" s="58" t="n">
        <f aca="false">J270/J274</f>
        <v>0</v>
      </c>
    </row>
    <row r="271" customFormat="false" ht="15" hidden="false" customHeight="false" outlineLevel="0" collapsed="false">
      <c r="A271" s="54" t="s">
        <v>42</v>
      </c>
      <c r="B271" s="57" t="n">
        <f aca="false">B206*C163</f>
        <v>0</v>
      </c>
      <c r="C271" s="60" t="n">
        <v>0</v>
      </c>
      <c r="D271" s="57" t="n">
        <f aca="false">D207*E100</f>
        <v>0</v>
      </c>
      <c r="E271" s="60" t="n">
        <v>0</v>
      </c>
      <c r="F271" s="57" t="n">
        <f aca="false">F207*E100</f>
        <v>0</v>
      </c>
      <c r="G271" s="58" t="n">
        <f aca="false">F271/F274</f>
        <v>0</v>
      </c>
      <c r="H271" s="57" t="n">
        <f aca="false">H207*E100</f>
        <v>160013.495657805</v>
      </c>
      <c r="I271" s="58" t="n">
        <f aca="false">H271/H274</f>
        <v>0.733685158965118</v>
      </c>
      <c r="J271" s="57" t="n">
        <f aca="false">J207*E100</f>
        <v>0</v>
      </c>
      <c r="K271" s="58" t="n">
        <f aca="false">J271/J274</f>
        <v>0</v>
      </c>
    </row>
    <row r="272" customFormat="false" ht="15" hidden="false" customHeight="false" outlineLevel="0" collapsed="false">
      <c r="A272" s="54" t="s">
        <v>46</v>
      </c>
      <c r="B272" s="57" t="n">
        <f aca="false">B207*C164</f>
        <v>0</v>
      </c>
      <c r="C272" s="60" t="n">
        <v>0.05</v>
      </c>
      <c r="D272" s="57" t="n">
        <f aca="false">D208*E101</f>
        <v>294368.714941675</v>
      </c>
      <c r="E272" s="60" t="n">
        <v>0.95</v>
      </c>
      <c r="F272" s="57" t="n">
        <f aca="false">F208*E101</f>
        <v>0</v>
      </c>
      <c r="G272" s="58" t="n">
        <f aca="false">F272/F274</f>
        <v>0</v>
      </c>
      <c r="H272" s="57" t="n">
        <f aca="false">H208*E101</f>
        <v>0</v>
      </c>
      <c r="I272" s="58" t="n">
        <f aca="false">H272/H274</f>
        <v>0</v>
      </c>
      <c r="J272" s="57" t="n">
        <f aca="false">J208*E101</f>
        <v>0</v>
      </c>
      <c r="K272" s="58" t="n">
        <f aca="false">J272/J274</f>
        <v>0</v>
      </c>
    </row>
    <row r="273" customFormat="false" ht="15" hidden="false" customHeight="false" outlineLevel="0" collapsed="false">
      <c r="A273" s="54" t="s">
        <v>50</v>
      </c>
      <c r="B273" s="57" t="n">
        <f aca="false">B208*C165</f>
        <v>34.882752822642</v>
      </c>
      <c r="C273" s="60" t="n">
        <v>0</v>
      </c>
      <c r="D273" s="57" t="n">
        <f aca="false">D209*E102</f>
        <v>0</v>
      </c>
      <c r="E273" s="60" t="n">
        <v>0</v>
      </c>
      <c r="F273" s="57" t="n">
        <f aca="false">F209*E102</f>
        <v>39989.2956166394</v>
      </c>
      <c r="G273" s="58" t="n">
        <f aca="false">F273/F274</f>
        <v>1</v>
      </c>
      <c r="H273" s="57" t="n">
        <f aca="false">H209*E102</f>
        <v>0</v>
      </c>
      <c r="I273" s="58" t="n">
        <f aca="false">H273/H274</f>
        <v>0</v>
      </c>
      <c r="J273" s="57" t="n">
        <f aca="false">J209*E102</f>
        <v>39989.2956166394</v>
      </c>
      <c r="K273" s="58" t="n">
        <f aca="false">J273/J274</f>
        <v>0.359968038353975</v>
      </c>
    </row>
    <row r="274" customFormat="false" ht="15" hidden="false" customHeight="false" outlineLevel="0" collapsed="false">
      <c r="A274" s="54" t="s">
        <v>53</v>
      </c>
      <c r="B274" s="61" t="n">
        <f aca="false">SUM(B268:B273)</f>
        <v>5630.22046710974</v>
      </c>
      <c r="C274" s="64" t="n">
        <f aca="false">SUM(C268:C273)</f>
        <v>1</v>
      </c>
      <c r="D274" s="61" t="n">
        <f aca="false">SUM(D268:D273)</f>
        <v>299999.999970163</v>
      </c>
      <c r="E274" s="64" t="n">
        <f aca="false">SUM(E268:E273)</f>
        <v>1</v>
      </c>
      <c r="F274" s="61" t="n">
        <f aca="false">SUM(F268:F273)</f>
        <v>39989.2956166394</v>
      </c>
      <c r="G274" s="62" t="n">
        <f aca="false">SUM(G268:G273)</f>
        <v>1</v>
      </c>
      <c r="H274" s="61" t="n">
        <f aca="false">SUM(H268:H273)</f>
        <v>218095.587327279</v>
      </c>
      <c r="I274" s="62" t="n">
        <f aca="false">SUM(I268:I273)</f>
        <v>1</v>
      </c>
      <c r="J274" s="61" t="n">
        <f aca="false">SUM(J268:J273)</f>
        <v>111091.239654216</v>
      </c>
      <c r="K274" s="62" t="n">
        <f aca="false">SUM(K268:K273)</f>
        <v>1</v>
      </c>
    </row>
    <row r="276" customFormat="false" ht="15" hidden="false" customHeight="false" outlineLevel="0" collapsed="false">
      <c r="A276" s="54" t="s">
        <v>6</v>
      </c>
      <c r="B276" s="45" t="n">
        <v>22</v>
      </c>
      <c r="C276" s="45"/>
      <c r="D276" s="45" t="n">
        <v>23</v>
      </c>
      <c r="E276" s="45"/>
      <c r="F276" s="45" t="n">
        <v>24</v>
      </c>
      <c r="G276" s="45"/>
      <c r="H276" s="45" t="n">
        <v>25</v>
      </c>
      <c r="I276" s="45"/>
      <c r="J276" s="45" t="n">
        <v>26</v>
      </c>
      <c r="K276" s="45"/>
    </row>
    <row r="277" customFormat="false" ht="15" hidden="false" customHeight="false" outlineLevel="0" collapsed="false">
      <c r="A277" s="54" t="s">
        <v>30</v>
      </c>
      <c r="B277" s="55" t="s">
        <v>112</v>
      </c>
      <c r="C277" s="56" t="s">
        <v>109</v>
      </c>
      <c r="D277" s="55" t="s">
        <v>112</v>
      </c>
      <c r="E277" s="56" t="s">
        <v>109</v>
      </c>
      <c r="F277" s="55" t="s">
        <v>112</v>
      </c>
      <c r="G277" s="56" t="s">
        <v>109</v>
      </c>
      <c r="H277" s="55" t="s">
        <v>112</v>
      </c>
      <c r="I277" s="56" t="s">
        <v>109</v>
      </c>
      <c r="J277" s="55" t="s">
        <v>112</v>
      </c>
      <c r="K277" s="56" t="s">
        <v>109</v>
      </c>
    </row>
    <row r="278" customFormat="false" ht="15" hidden="false" customHeight="false" outlineLevel="0" collapsed="false">
      <c r="A278" s="54" t="s">
        <v>38</v>
      </c>
      <c r="B278" s="57" t="n">
        <f aca="false">B214*E97</f>
        <v>71101.9440375763</v>
      </c>
      <c r="C278" s="58" t="n">
        <f aca="false">K268</f>
        <v>0.640031961646025</v>
      </c>
      <c r="D278" s="57" t="n">
        <f aca="false">D214*E97</f>
        <v>56881.5552300611</v>
      </c>
      <c r="E278" s="58" t="n">
        <f aca="false">D278/D284</f>
        <v>1</v>
      </c>
      <c r="F278" s="57" t="n">
        <f aca="false">F214*E97</f>
        <v>56881.5552300611</v>
      </c>
      <c r="G278" s="58" t="n">
        <f aca="false">E278</f>
        <v>1</v>
      </c>
      <c r="H278" s="57" t="n">
        <f aca="false">H214*E97</f>
        <v>18960.5184100204</v>
      </c>
      <c r="I278" s="58" t="n">
        <f aca="false">H278/H284</f>
        <v>1</v>
      </c>
      <c r="J278" s="57" t="n">
        <f aca="false">J214*E97</f>
        <v>37921.0368200407</v>
      </c>
      <c r="K278" s="58" t="n">
        <f aca="false">J278/J284</f>
        <v>1</v>
      </c>
    </row>
    <row r="279" customFormat="false" ht="15" hidden="false" customHeight="false" outlineLevel="0" collapsed="false">
      <c r="A279" s="54" t="s">
        <v>41</v>
      </c>
      <c r="B279" s="57" t="n">
        <f aca="false">B215*E98</f>
        <v>0</v>
      </c>
      <c r="C279" s="58" t="n">
        <f aca="false">K269</f>
        <v>0</v>
      </c>
      <c r="D279" s="57" t="n">
        <f aca="false">D215*E98</f>
        <v>0</v>
      </c>
      <c r="E279" s="58" t="n">
        <f aca="false">D279/D284</f>
        <v>0</v>
      </c>
      <c r="F279" s="57" t="n">
        <f aca="false">F215*E98</f>
        <v>0</v>
      </c>
      <c r="G279" s="58" t="n">
        <f aca="false">E279</f>
        <v>0</v>
      </c>
      <c r="H279" s="57" t="n">
        <f aca="false">H215*E98</f>
        <v>0</v>
      </c>
      <c r="I279" s="58" t="n">
        <f aca="false">H279/H284</f>
        <v>0</v>
      </c>
      <c r="J279" s="57" t="n">
        <f aca="false">J215*E98</f>
        <v>0</v>
      </c>
      <c r="K279" s="58" t="n">
        <f aca="false">J279/J284</f>
        <v>0</v>
      </c>
    </row>
    <row r="280" customFormat="false" ht="15" hidden="false" customHeight="false" outlineLevel="0" collapsed="false">
      <c r="A280" s="54" t="s">
        <v>43</v>
      </c>
      <c r="B280" s="57" t="n">
        <f aca="false">B216*E99</f>
        <v>0</v>
      </c>
      <c r="C280" s="58" t="n">
        <f aca="false">K270</f>
        <v>0</v>
      </c>
      <c r="D280" s="57" t="n">
        <f aca="false">D216*E99</f>
        <v>0</v>
      </c>
      <c r="E280" s="58" t="n">
        <f aca="false">D280/D284</f>
        <v>0</v>
      </c>
      <c r="F280" s="57" t="n">
        <f aca="false">F216*E99</f>
        <v>0</v>
      </c>
      <c r="G280" s="58" t="n">
        <f aca="false">E280</f>
        <v>0</v>
      </c>
      <c r="H280" s="57" t="n">
        <f aca="false">H216*E99</f>
        <v>0</v>
      </c>
      <c r="I280" s="58" t="n">
        <f aca="false">H280/H284</f>
        <v>0</v>
      </c>
      <c r="J280" s="57" t="n">
        <f aca="false">J216*E99</f>
        <v>0</v>
      </c>
      <c r="K280" s="58" t="n">
        <f aca="false">J280/J284</f>
        <v>0</v>
      </c>
    </row>
    <row r="281" customFormat="false" ht="15" hidden="false" customHeight="false" outlineLevel="0" collapsed="false">
      <c r="A281" s="54" t="s">
        <v>42</v>
      </c>
      <c r="B281" s="57" t="n">
        <f aca="false">B217*E100</f>
        <v>0</v>
      </c>
      <c r="C281" s="58" t="n">
        <f aca="false">K271</f>
        <v>0</v>
      </c>
      <c r="D281" s="57" t="n">
        <f aca="false">D217*E100</f>
        <v>0</v>
      </c>
      <c r="E281" s="58" t="n">
        <f aca="false">D281/D284</f>
        <v>0</v>
      </c>
      <c r="F281" s="57" t="n">
        <f aca="false">F217*E100</f>
        <v>0</v>
      </c>
      <c r="G281" s="58" t="n">
        <f aca="false">E281</f>
        <v>0</v>
      </c>
      <c r="H281" s="57" t="n">
        <f aca="false">H217*E100</f>
        <v>0</v>
      </c>
      <c r="I281" s="58" t="n">
        <f aca="false">H281/H284</f>
        <v>0</v>
      </c>
      <c r="J281" s="57" t="n">
        <f aca="false">J217*E100</f>
        <v>0</v>
      </c>
      <c r="K281" s="58" t="n">
        <f aca="false">J281/J284</f>
        <v>0</v>
      </c>
    </row>
    <row r="282" customFormat="false" ht="15" hidden="false" customHeight="false" outlineLevel="0" collapsed="false">
      <c r="A282" s="54" t="s">
        <v>46</v>
      </c>
      <c r="B282" s="57" t="n">
        <f aca="false">B218*E101</f>
        <v>0</v>
      </c>
      <c r="C282" s="58" t="n">
        <f aca="false">K272</f>
        <v>0</v>
      </c>
      <c r="D282" s="57" t="n">
        <f aca="false">D218*E101</f>
        <v>0</v>
      </c>
      <c r="E282" s="58" t="n">
        <f aca="false">D282/D284</f>
        <v>0</v>
      </c>
      <c r="F282" s="57" t="n">
        <f aca="false">F218*E101</f>
        <v>0</v>
      </c>
      <c r="G282" s="58" t="n">
        <f aca="false">E282</f>
        <v>0</v>
      </c>
      <c r="H282" s="57" t="n">
        <f aca="false">H218*E101</f>
        <v>0</v>
      </c>
      <c r="I282" s="58" t="n">
        <f aca="false">H282/H284</f>
        <v>0</v>
      </c>
      <c r="J282" s="57" t="n">
        <f aca="false">J218*E101</f>
        <v>0</v>
      </c>
      <c r="K282" s="58" t="n">
        <f aca="false">J282/J284</f>
        <v>0</v>
      </c>
    </row>
    <row r="283" customFormat="false" ht="15" hidden="false" customHeight="false" outlineLevel="0" collapsed="false">
      <c r="A283" s="54" t="s">
        <v>50</v>
      </c>
      <c r="B283" s="57" t="n">
        <f aca="false">B219*E102</f>
        <v>39989.2956166394</v>
      </c>
      <c r="C283" s="58" t="n">
        <f aca="false">K273</f>
        <v>0.359968038353975</v>
      </c>
      <c r="D283" s="57" t="n">
        <f aca="false">D219*E102</f>
        <v>0</v>
      </c>
      <c r="E283" s="58" t="n">
        <f aca="false">D283/D284</f>
        <v>0</v>
      </c>
      <c r="F283" s="57" t="n">
        <f aca="false">F219*E102</f>
        <v>0</v>
      </c>
      <c r="G283" s="58" t="n">
        <f aca="false">E283</f>
        <v>0</v>
      </c>
      <c r="H283" s="57" t="n">
        <f aca="false">H219*E102</f>
        <v>0</v>
      </c>
      <c r="I283" s="58" t="n">
        <f aca="false">H283/H284</f>
        <v>0</v>
      </c>
      <c r="J283" s="57" t="n">
        <f aca="false">J219*E102</f>
        <v>0</v>
      </c>
      <c r="K283" s="58" t="n">
        <f aca="false">J283/J284</f>
        <v>0</v>
      </c>
    </row>
    <row r="284" customFormat="false" ht="15" hidden="false" customHeight="false" outlineLevel="0" collapsed="false">
      <c r="A284" s="54" t="s">
        <v>53</v>
      </c>
      <c r="B284" s="61" t="n">
        <f aca="false">SUM(B278:B283)</f>
        <v>111091.239654216</v>
      </c>
      <c r="C284" s="62" t="n">
        <f aca="false">SUM(C278:C283)</f>
        <v>1</v>
      </c>
      <c r="D284" s="61" t="n">
        <f aca="false">SUM(D278:D283)</f>
        <v>56881.5552300611</v>
      </c>
      <c r="E284" s="62" t="n">
        <f aca="false">SUM(E278:E283)</f>
        <v>1</v>
      </c>
      <c r="F284" s="61" t="n">
        <f aca="false">SUM(F278:F283)</f>
        <v>56881.5552300611</v>
      </c>
      <c r="G284" s="62" t="n">
        <f aca="false">SUM(G278:G283)</f>
        <v>1</v>
      </c>
      <c r="H284" s="61" t="n">
        <f aca="false">SUM(H278:H283)</f>
        <v>18960.5184100204</v>
      </c>
      <c r="I284" s="62" t="n">
        <f aca="false">SUM(I278:I283)</f>
        <v>1</v>
      </c>
      <c r="J284" s="61" t="n">
        <f aca="false">SUM(J278:J283)</f>
        <v>37921.0368200407</v>
      </c>
      <c r="K284" s="62" t="n">
        <f aca="false">SUM(K278:K283)</f>
        <v>1</v>
      </c>
    </row>
    <row r="286" customFormat="false" ht="15" hidden="false" customHeight="false" outlineLevel="0" collapsed="false">
      <c r="A286" s="54" t="s">
        <v>6</v>
      </c>
      <c r="B286" s="45" t="n">
        <v>27</v>
      </c>
      <c r="C286" s="45"/>
      <c r="D286" s="45" t="n">
        <v>28</v>
      </c>
      <c r="E286" s="45"/>
      <c r="F286" s="45" t="n">
        <v>29</v>
      </c>
      <c r="G286" s="45"/>
      <c r="H286" s="45" t="n">
        <v>30</v>
      </c>
      <c r="I286" s="45"/>
      <c r="J286" s="45"/>
      <c r="K286" s="45"/>
    </row>
    <row r="287" customFormat="false" ht="15" hidden="false" customHeight="false" outlineLevel="0" collapsed="false">
      <c r="A287" s="54" t="s">
        <v>30</v>
      </c>
      <c r="B287" s="55" t="s">
        <v>112</v>
      </c>
      <c r="C287" s="56" t="s">
        <v>109</v>
      </c>
      <c r="D287" s="55" t="s">
        <v>112</v>
      </c>
      <c r="E287" s="56" t="s">
        <v>109</v>
      </c>
      <c r="F287" s="55" t="s">
        <v>112</v>
      </c>
      <c r="G287" s="56" t="s">
        <v>109</v>
      </c>
      <c r="H287" s="55" t="s">
        <v>112</v>
      </c>
      <c r="I287" s="56" t="s">
        <v>109</v>
      </c>
      <c r="J287" s="55"/>
      <c r="K287" s="56"/>
    </row>
    <row r="288" customFormat="false" ht="15" hidden="false" customHeight="false" outlineLevel="0" collapsed="false">
      <c r="A288" s="54" t="s">
        <v>38</v>
      </c>
      <c r="B288" s="57" t="n">
        <f aca="false">B224*E97</f>
        <v>14220.3888075153</v>
      </c>
      <c r="C288" s="58" t="n">
        <f aca="false">B288/B294</f>
        <v>0.26232192565908</v>
      </c>
      <c r="D288" s="57" t="n">
        <f aca="false">D224*E97</f>
        <v>10617.8949262564</v>
      </c>
      <c r="E288" s="60" t="n">
        <v>0.8</v>
      </c>
      <c r="F288" s="57" t="n">
        <f aca="false">F224*E97</f>
        <v>3602.49869026407</v>
      </c>
      <c r="G288" s="60" t="n">
        <v>0.05</v>
      </c>
      <c r="H288" s="57" t="n">
        <f aca="false">H224*E97</f>
        <v>37921.0368200407</v>
      </c>
      <c r="I288" s="58" t="n">
        <f aca="false">H288/H294</f>
        <v>1</v>
      </c>
      <c r="J288" s="57"/>
      <c r="K288" s="58"/>
    </row>
    <row r="289" customFormat="false" ht="15" hidden="false" customHeight="false" outlineLevel="0" collapsed="false">
      <c r="A289" s="54" t="s">
        <v>41</v>
      </c>
      <c r="B289" s="57" t="n">
        <f aca="false">B225*E98</f>
        <v>0</v>
      </c>
      <c r="C289" s="58" t="n">
        <f aca="false">B289/B294</f>
        <v>0</v>
      </c>
      <c r="D289" s="57" t="n">
        <f aca="false">D225*E98</f>
        <v>0</v>
      </c>
      <c r="E289" s="60" t="n">
        <v>0</v>
      </c>
      <c r="F289" s="57" t="n">
        <f aca="false">F225*E98</f>
        <v>0</v>
      </c>
      <c r="G289" s="60" t="n">
        <v>0</v>
      </c>
      <c r="H289" s="57" t="n">
        <f aca="false">H225*E98</f>
        <v>0</v>
      </c>
      <c r="I289" s="58" t="n">
        <f aca="false">H289/H294</f>
        <v>0</v>
      </c>
      <c r="J289" s="57"/>
      <c r="K289" s="58"/>
    </row>
    <row r="290" customFormat="false" ht="15" hidden="false" customHeight="false" outlineLevel="0" collapsed="false">
      <c r="A290" s="54" t="s">
        <v>43</v>
      </c>
      <c r="B290" s="57" t="n">
        <f aca="false">B226*E99</f>
        <v>0</v>
      </c>
      <c r="C290" s="58" t="n">
        <f aca="false">B290/B294</f>
        <v>0</v>
      </c>
      <c r="D290" s="57" t="n">
        <f aca="false">D226*E99</f>
        <v>0</v>
      </c>
      <c r="E290" s="60" t="n">
        <v>0</v>
      </c>
      <c r="F290" s="57" t="n">
        <f aca="false">F226*E99</f>
        <v>0</v>
      </c>
      <c r="G290" s="60" t="n">
        <v>0</v>
      </c>
      <c r="H290" s="57" t="n">
        <f aca="false">H226*E99</f>
        <v>0</v>
      </c>
      <c r="I290" s="58" t="n">
        <f aca="false">H290/H294</f>
        <v>0</v>
      </c>
      <c r="J290" s="57"/>
      <c r="K290" s="58"/>
    </row>
    <row r="291" customFormat="false" ht="15" hidden="false" customHeight="false" outlineLevel="0" collapsed="false">
      <c r="A291" s="54" t="s">
        <v>42</v>
      </c>
      <c r="B291" s="57" t="n">
        <f aca="false">B227*E100</f>
        <v>0</v>
      </c>
      <c r="C291" s="58" t="n">
        <f aca="false">B291/B294</f>
        <v>0</v>
      </c>
      <c r="D291" s="57" t="n">
        <f aca="false">D227*E100</f>
        <v>0</v>
      </c>
      <c r="E291" s="60" t="n">
        <v>0</v>
      </c>
      <c r="F291" s="57" t="n">
        <f aca="false">F227*E100</f>
        <v>0</v>
      </c>
      <c r="G291" s="60" t="n">
        <v>0</v>
      </c>
      <c r="H291" s="57" t="n">
        <f aca="false">H227*E100</f>
        <v>0</v>
      </c>
      <c r="I291" s="58" t="n">
        <f aca="false">H291/H294</f>
        <v>0</v>
      </c>
      <c r="J291" s="57"/>
      <c r="K291" s="58"/>
    </row>
    <row r="292" customFormat="false" ht="15" hidden="false" customHeight="false" outlineLevel="0" collapsed="false">
      <c r="A292" s="54" t="s">
        <v>46</v>
      </c>
      <c r="B292" s="57" t="n">
        <f aca="false">B228*E101</f>
        <v>0</v>
      </c>
      <c r="C292" s="58" t="n">
        <f aca="false">B292/B294</f>
        <v>0</v>
      </c>
      <c r="D292" s="57" t="n">
        <f aca="false">D228*E101</f>
        <v>0</v>
      </c>
      <c r="E292" s="60" t="n">
        <v>0</v>
      </c>
      <c r="F292" s="57" t="n">
        <f aca="false">F228*E101</f>
        <v>0</v>
      </c>
      <c r="G292" s="60" t="n">
        <v>0</v>
      </c>
      <c r="H292" s="57" t="n">
        <f aca="false">H228*E101</f>
        <v>0</v>
      </c>
      <c r="I292" s="58" t="n">
        <f aca="false">H292/H294</f>
        <v>0</v>
      </c>
      <c r="J292" s="57"/>
      <c r="K292" s="58"/>
    </row>
    <row r="293" customFormat="false" ht="15" hidden="false" customHeight="false" outlineLevel="0" collapsed="false">
      <c r="A293" s="54" t="s">
        <v>50</v>
      </c>
      <c r="B293" s="57" t="n">
        <f aca="false">B229*E102</f>
        <v>39989.2956166394</v>
      </c>
      <c r="C293" s="58" t="n">
        <f aca="false">B293/B294</f>
        <v>0.73767807434092</v>
      </c>
      <c r="D293" s="57" t="n">
        <f aca="false">D229*E102</f>
        <v>1492.93435214686</v>
      </c>
      <c r="E293" s="60" t="n">
        <v>0.2</v>
      </c>
      <c r="F293" s="57" t="n">
        <f aca="false">F229*E102</f>
        <v>38496.3639691827</v>
      </c>
      <c r="G293" s="60" t="n">
        <v>0.95</v>
      </c>
      <c r="H293" s="57" t="n">
        <f aca="false">H229*E102</f>
        <v>0</v>
      </c>
      <c r="I293" s="58" t="n">
        <f aca="false">H293/H294</f>
        <v>0</v>
      </c>
      <c r="J293" s="57"/>
      <c r="K293" s="58"/>
    </row>
    <row r="294" customFormat="false" ht="15" hidden="false" customHeight="false" outlineLevel="0" collapsed="false">
      <c r="A294" s="54" t="s">
        <v>53</v>
      </c>
      <c r="B294" s="61" t="n">
        <f aca="false">SUM(B288:B293)</f>
        <v>54209.6844241546</v>
      </c>
      <c r="C294" s="62" t="n">
        <f aca="false">SUM(C288:C293)</f>
        <v>1</v>
      </c>
      <c r="D294" s="61" t="n">
        <f aca="false">SUM(D288:D293)</f>
        <v>12110.8292784033</v>
      </c>
      <c r="E294" s="64" t="n">
        <f aca="false">SUM(E288:E293)</f>
        <v>1</v>
      </c>
      <c r="F294" s="61" t="n">
        <f aca="false">SUM(F288:F293)</f>
        <v>42098.8626594467</v>
      </c>
      <c r="G294" s="64" t="n">
        <f aca="false">SUM(G288:G293)</f>
        <v>1</v>
      </c>
      <c r="H294" s="61" t="n">
        <f aca="false">SUM(H288:H293)</f>
        <v>37921.0368200407</v>
      </c>
      <c r="I294" s="62" t="n">
        <f aca="false">SUM(I288:I293)</f>
        <v>1</v>
      </c>
      <c r="J294" s="61"/>
      <c r="K294" s="62"/>
    </row>
  </sheetData>
  <mergeCells count="200">
    <mergeCell ref="AE2:AG2"/>
    <mergeCell ref="A3:K3"/>
    <mergeCell ref="R4:S4"/>
    <mergeCell ref="T4:U4"/>
    <mergeCell ref="V4:W4"/>
    <mergeCell ref="X4:Y4"/>
    <mergeCell ref="Z4:AA4"/>
    <mergeCell ref="B5:C5"/>
    <mergeCell ref="D5:E5"/>
    <mergeCell ref="F5:G5"/>
    <mergeCell ref="H5:I5"/>
    <mergeCell ref="J5:K5"/>
    <mergeCell ref="N9:O9"/>
    <mergeCell ref="N10:O10"/>
    <mergeCell ref="N11:O11"/>
    <mergeCell ref="N12:O12"/>
    <mergeCell ref="N13:O13"/>
    <mergeCell ref="AD13:AJ13"/>
    <mergeCell ref="AD14:AJ14"/>
    <mergeCell ref="B15:C15"/>
    <mergeCell ref="D15:E15"/>
    <mergeCell ref="F15:G15"/>
    <mergeCell ref="H15:I15"/>
    <mergeCell ref="J15:K15"/>
    <mergeCell ref="R15:S15"/>
    <mergeCell ref="T15:U15"/>
    <mergeCell ref="V15:W15"/>
    <mergeCell ref="X15:Y15"/>
    <mergeCell ref="Z15:AA15"/>
    <mergeCell ref="B25:C25"/>
    <mergeCell ref="D25:E25"/>
    <mergeCell ref="F25:G25"/>
    <mergeCell ref="H25:I25"/>
    <mergeCell ref="J25:K25"/>
    <mergeCell ref="AM25:AQ25"/>
    <mergeCell ref="R26:S26"/>
    <mergeCell ref="T26:U26"/>
    <mergeCell ref="V26:W26"/>
    <mergeCell ref="X26:Y26"/>
    <mergeCell ref="Z26:AA26"/>
    <mergeCell ref="B35:C35"/>
    <mergeCell ref="D35:E35"/>
    <mergeCell ref="F35:G35"/>
    <mergeCell ref="H35:I35"/>
    <mergeCell ref="J35:K35"/>
    <mergeCell ref="M35:O35"/>
    <mergeCell ref="R37:S37"/>
    <mergeCell ref="T37:U37"/>
    <mergeCell ref="V37:W37"/>
    <mergeCell ref="X37:Y37"/>
    <mergeCell ref="Z37:AA37"/>
    <mergeCell ref="B45:C45"/>
    <mergeCell ref="D45:E45"/>
    <mergeCell ref="F45:G45"/>
    <mergeCell ref="H45:I45"/>
    <mergeCell ref="J45:K45"/>
    <mergeCell ref="R48:S48"/>
    <mergeCell ref="T48:U48"/>
    <mergeCell ref="V48:W48"/>
    <mergeCell ref="X48:Y48"/>
    <mergeCell ref="Z48:AA48"/>
    <mergeCell ref="B55:C55"/>
    <mergeCell ref="D55:E55"/>
    <mergeCell ref="F55:G55"/>
    <mergeCell ref="H55:I55"/>
    <mergeCell ref="J55:K55"/>
    <mergeCell ref="M55:O55"/>
    <mergeCell ref="R59:S59"/>
    <mergeCell ref="T59:U59"/>
    <mergeCell ref="V59:W59"/>
    <mergeCell ref="X59:Y59"/>
    <mergeCell ref="Z59:AA59"/>
    <mergeCell ref="A65:K65"/>
    <mergeCell ref="A67:C67"/>
    <mergeCell ref="E67:G67"/>
    <mergeCell ref="I67:K67"/>
    <mergeCell ref="A68:C68"/>
    <mergeCell ref="E68:G68"/>
    <mergeCell ref="I68:K68"/>
    <mergeCell ref="R70:S70"/>
    <mergeCell ref="T70:U70"/>
    <mergeCell ref="V70:W70"/>
    <mergeCell ref="X70:Y70"/>
    <mergeCell ref="Z70:AA70"/>
    <mergeCell ref="A77:C77"/>
    <mergeCell ref="E77:G77"/>
    <mergeCell ref="I77:K77"/>
    <mergeCell ref="A86:C86"/>
    <mergeCell ref="E86:G86"/>
    <mergeCell ref="I86:K86"/>
    <mergeCell ref="I95:K95"/>
    <mergeCell ref="C96:D96"/>
    <mergeCell ref="E96:F96"/>
    <mergeCell ref="C97:D97"/>
    <mergeCell ref="E97:F97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A106:K106"/>
    <mergeCell ref="B108:C108"/>
    <mergeCell ref="D108:E108"/>
    <mergeCell ref="F108:G108"/>
    <mergeCell ref="H108:I108"/>
    <mergeCell ref="J108:K108"/>
    <mergeCell ref="B118:C118"/>
    <mergeCell ref="D118:E118"/>
    <mergeCell ref="F118:G118"/>
    <mergeCell ref="H118:I118"/>
    <mergeCell ref="J118:K118"/>
    <mergeCell ref="B128:C128"/>
    <mergeCell ref="D128:E128"/>
    <mergeCell ref="F128:G128"/>
    <mergeCell ref="H128:I128"/>
    <mergeCell ref="J128:K128"/>
    <mergeCell ref="B138:C138"/>
    <mergeCell ref="D138:E138"/>
    <mergeCell ref="F138:G138"/>
    <mergeCell ref="H138:I138"/>
    <mergeCell ref="J138:K138"/>
    <mergeCell ref="B148:C148"/>
    <mergeCell ref="D148:E148"/>
    <mergeCell ref="F148:G148"/>
    <mergeCell ref="H148:I148"/>
    <mergeCell ref="J148:K148"/>
    <mergeCell ref="B158:C158"/>
    <mergeCell ref="D158:E158"/>
    <mergeCell ref="F158:G158"/>
    <mergeCell ref="H158:I158"/>
    <mergeCell ref="J158:K158"/>
    <mergeCell ref="A168:C168"/>
    <mergeCell ref="A170:K170"/>
    <mergeCell ref="B172:C172"/>
    <mergeCell ref="D172:E172"/>
    <mergeCell ref="F172:G172"/>
    <mergeCell ref="H172:I172"/>
    <mergeCell ref="J172:K172"/>
    <mergeCell ref="B182:C182"/>
    <mergeCell ref="D182:E182"/>
    <mergeCell ref="F182:G182"/>
    <mergeCell ref="H182:I182"/>
    <mergeCell ref="J182:K182"/>
    <mergeCell ref="B192:C192"/>
    <mergeCell ref="D192:E192"/>
    <mergeCell ref="F192:G192"/>
    <mergeCell ref="H192:I192"/>
    <mergeCell ref="J192:K192"/>
    <mergeCell ref="B202:C202"/>
    <mergeCell ref="D202:E202"/>
    <mergeCell ref="F202:G202"/>
    <mergeCell ref="H202:I202"/>
    <mergeCell ref="J202:K202"/>
    <mergeCell ref="B212:C212"/>
    <mergeCell ref="D212:E212"/>
    <mergeCell ref="F212:G212"/>
    <mergeCell ref="H212:I212"/>
    <mergeCell ref="J212:K212"/>
    <mergeCell ref="B222:C222"/>
    <mergeCell ref="D222:E222"/>
    <mergeCell ref="F222:G222"/>
    <mergeCell ref="H222:I222"/>
    <mergeCell ref="J222:K222"/>
    <mergeCell ref="A232:C232"/>
    <mergeCell ref="A234:K234"/>
    <mergeCell ref="B236:C236"/>
    <mergeCell ref="D236:E236"/>
    <mergeCell ref="F236:G236"/>
    <mergeCell ref="H236:I236"/>
    <mergeCell ref="J236:K236"/>
    <mergeCell ref="B246:C246"/>
    <mergeCell ref="D246:E246"/>
    <mergeCell ref="F246:G246"/>
    <mergeCell ref="H246:I246"/>
    <mergeCell ref="J246:K246"/>
    <mergeCell ref="B256:C256"/>
    <mergeCell ref="D256:E256"/>
    <mergeCell ref="F256:G256"/>
    <mergeCell ref="H256:I256"/>
    <mergeCell ref="J256:K256"/>
    <mergeCell ref="B266:C266"/>
    <mergeCell ref="D266:E266"/>
    <mergeCell ref="F266:G266"/>
    <mergeCell ref="H266:I266"/>
    <mergeCell ref="J266:K266"/>
    <mergeCell ref="B276:C276"/>
    <mergeCell ref="D276:E276"/>
    <mergeCell ref="F276:G276"/>
    <mergeCell ref="H276:I276"/>
    <mergeCell ref="J276:K276"/>
    <mergeCell ref="B286:C286"/>
    <mergeCell ref="D286:E286"/>
    <mergeCell ref="F286:G286"/>
    <mergeCell ref="H286:I286"/>
    <mergeCell ref="J286:K28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K5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I6" activeCellId="0" sqref="I6"/>
    </sheetView>
  </sheetViews>
  <sheetFormatPr defaultRowHeight="15"/>
  <cols>
    <col collapsed="false" hidden="false" max="1" min="1" style="0" width="8.70918367346939"/>
    <col collapsed="false" hidden="false" max="2" min="2" style="0" width="20.5714285714286"/>
    <col collapsed="false" hidden="false" max="3" min="3" style="0" width="13.5714285714286"/>
    <col collapsed="false" hidden="false" max="4" min="4" style="0" width="20.9948979591837"/>
    <col collapsed="false" hidden="false" max="5" min="5" style="0" width="13.7040816326531"/>
    <col collapsed="false" hidden="false" max="6" min="6" style="0" width="19.8520408163265"/>
    <col collapsed="false" hidden="false" max="7" min="7" style="0" width="14.1479591836735"/>
    <col collapsed="false" hidden="false" max="8" min="8" style="0" width="20.4183673469388"/>
    <col collapsed="false" hidden="false" max="9" min="9" style="0" width="13.4285714285714"/>
    <col collapsed="false" hidden="false" max="10" min="10" style="0" width="20.4183673469388"/>
    <col collapsed="false" hidden="false" max="11" min="11" style="0" width="14.5714285714286"/>
    <col collapsed="false" hidden="false" max="1025" min="12" style="0" width="8.70918367346939"/>
  </cols>
  <sheetData>
    <row r="1" customFormat="false" ht="15" hidden="false" customHeight="false" outlineLevel="0" collapsed="false">
      <c r="A1" s="54" t="s">
        <v>6</v>
      </c>
      <c r="B1" s="45" t="n">
        <v>1</v>
      </c>
      <c r="C1" s="45"/>
      <c r="D1" s="45" t="n">
        <v>2</v>
      </c>
      <c r="E1" s="45"/>
      <c r="F1" s="45" t="n">
        <v>3</v>
      </c>
      <c r="G1" s="45"/>
      <c r="H1" s="45" t="n">
        <v>4</v>
      </c>
      <c r="I1" s="45"/>
      <c r="J1" s="45" t="n">
        <v>5</v>
      </c>
      <c r="K1" s="45"/>
    </row>
    <row r="2" customFormat="false" ht="15" hidden="false" customHeight="false" outlineLevel="0" collapsed="false">
      <c r="A2" s="54" t="s">
        <v>30</v>
      </c>
      <c r="B2" s="55" t="s">
        <v>108</v>
      </c>
      <c r="C2" s="56" t="s">
        <v>109</v>
      </c>
      <c r="D2" s="55" t="s">
        <v>108</v>
      </c>
      <c r="E2" s="56" t="s">
        <v>109</v>
      </c>
      <c r="F2" s="55" t="s">
        <v>108</v>
      </c>
      <c r="G2" s="56" t="s">
        <v>109</v>
      </c>
      <c r="H2" s="55" t="s">
        <v>108</v>
      </c>
      <c r="I2" s="56" t="s">
        <v>109</v>
      </c>
      <c r="J2" s="55" t="s">
        <v>108</v>
      </c>
      <c r="K2" s="56" t="s">
        <v>109</v>
      </c>
    </row>
    <row r="3" customFormat="false" ht="15" hidden="false" customHeight="false" outlineLevel="0" collapsed="false">
      <c r="A3" s="54" t="s">
        <v>38</v>
      </c>
      <c r="B3" s="57"/>
      <c r="C3" s="58"/>
      <c r="D3" s="57" t="n">
        <v>0</v>
      </c>
      <c r="E3" s="58" t="n">
        <f aca="false">D3/D9</f>
        <v>0</v>
      </c>
      <c r="F3" s="57" t="n">
        <v>30</v>
      </c>
      <c r="G3" s="58" t="n">
        <f aca="false">F3/F9</f>
        <v>1</v>
      </c>
      <c r="H3" s="57" t="n">
        <f aca="false">F3</f>
        <v>30</v>
      </c>
      <c r="I3" s="58" t="n">
        <f aca="false">G3</f>
        <v>1</v>
      </c>
      <c r="J3" s="57" t="n">
        <f aca="false">D3</f>
        <v>0</v>
      </c>
      <c r="K3" s="58" t="n">
        <f aca="false">E3</f>
        <v>0</v>
      </c>
    </row>
    <row r="4" customFormat="false" ht="15" hidden="false" customHeight="false" outlineLevel="0" collapsed="false">
      <c r="A4" s="54" t="s">
        <v>41</v>
      </c>
      <c r="B4" s="57"/>
      <c r="C4" s="58"/>
      <c r="D4" s="57" t="n">
        <v>23</v>
      </c>
      <c r="E4" s="58" t="n">
        <f aca="false">D4/D9</f>
        <v>0.23</v>
      </c>
      <c r="F4" s="57" t="n">
        <v>0</v>
      </c>
      <c r="G4" s="58" t="n">
        <f aca="false">F4/F9</f>
        <v>0</v>
      </c>
      <c r="H4" s="57" t="n">
        <f aca="false">F4</f>
        <v>0</v>
      </c>
      <c r="I4" s="58" t="n">
        <f aca="false">E4</f>
        <v>0.23</v>
      </c>
      <c r="J4" s="57" t="n">
        <f aca="false">D4</f>
        <v>23</v>
      </c>
      <c r="K4" s="58" t="n">
        <f aca="false">E4</f>
        <v>0.23</v>
      </c>
    </row>
    <row r="5" customFormat="false" ht="15" hidden="false" customHeight="false" outlineLevel="0" collapsed="false">
      <c r="A5" s="54" t="s">
        <v>43</v>
      </c>
      <c r="B5" s="57"/>
      <c r="C5" s="58"/>
      <c r="D5" s="57" t="n">
        <v>20</v>
      </c>
      <c r="E5" s="58" t="n">
        <f aca="false">D5/D9</f>
        <v>0.2</v>
      </c>
      <c r="F5" s="57" t="n">
        <v>0</v>
      </c>
      <c r="G5" s="58" t="n">
        <f aca="false">F5/F9</f>
        <v>0</v>
      </c>
      <c r="H5" s="57" t="n">
        <f aca="false">F5</f>
        <v>0</v>
      </c>
      <c r="I5" s="58" t="n">
        <f aca="false">E5</f>
        <v>0.2</v>
      </c>
      <c r="J5" s="57" t="n">
        <f aca="false">D5</f>
        <v>20</v>
      </c>
      <c r="K5" s="58" t="n">
        <f aca="false">E5</f>
        <v>0.2</v>
      </c>
    </row>
    <row r="6" customFormat="false" ht="15" hidden="false" customHeight="false" outlineLevel="0" collapsed="false">
      <c r="A6" s="54" t="s">
        <v>42</v>
      </c>
      <c r="B6" s="57"/>
      <c r="C6" s="58"/>
      <c r="D6" s="57" t="n">
        <v>57</v>
      </c>
      <c r="E6" s="58" t="n">
        <f aca="false">D6/D9</f>
        <v>0.57</v>
      </c>
      <c r="F6" s="57" t="n">
        <v>0</v>
      </c>
      <c r="G6" s="58" t="n">
        <f aca="false">F6/F9</f>
        <v>0</v>
      </c>
      <c r="H6" s="57" t="n">
        <f aca="false">F6</f>
        <v>0</v>
      </c>
      <c r="I6" s="58" t="n">
        <f aca="false">E6</f>
        <v>0.57</v>
      </c>
      <c r="J6" s="57" t="n">
        <f aca="false">D6</f>
        <v>57</v>
      </c>
      <c r="K6" s="58" t="n">
        <f aca="false">E6</f>
        <v>0.57</v>
      </c>
    </row>
    <row r="7" customFormat="false" ht="15" hidden="false" customHeight="false" outlineLevel="0" collapsed="false">
      <c r="A7" s="54" t="s">
        <v>46</v>
      </c>
      <c r="B7" s="57"/>
      <c r="C7" s="58"/>
      <c r="D7" s="57" t="n">
        <v>0</v>
      </c>
      <c r="E7" s="58" t="n">
        <f aca="false">D7/D9</f>
        <v>0</v>
      </c>
      <c r="F7" s="57" t="n">
        <v>0</v>
      </c>
      <c r="G7" s="58" t="n">
        <f aca="false">F7/F9</f>
        <v>0</v>
      </c>
      <c r="H7" s="57" t="n">
        <f aca="false">F7</f>
        <v>0</v>
      </c>
      <c r="I7" s="58" t="n">
        <f aca="false">E7</f>
        <v>0</v>
      </c>
      <c r="J7" s="57" t="n">
        <f aca="false">D7</f>
        <v>0</v>
      </c>
      <c r="K7" s="58" t="n">
        <f aca="false">E7</f>
        <v>0</v>
      </c>
    </row>
    <row r="8" customFormat="false" ht="15" hidden="false" customHeight="false" outlineLevel="0" collapsed="false">
      <c r="A8" s="54" t="s">
        <v>50</v>
      </c>
      <c r="B8" s="57"/>
      <c r="C8" s="58"/>
      <c r="D8" s="57" t="n">
        <v>0</v>
      </c>
      <c r="E8" s="58" t="n">
        <f aca="false">D8/D9</f>
        <v>0</v>
      </c>
      <c r="F8" s="57" t="n">
        <v>0</v>
      </c>
      <c r="G8" s="58" t="n">
        <f aca="false">F8/F9</f>
        <v>0</v>
      </c>
      <c r="H8" s="57" t="n">
        <f aca="false">F8</f>
        <v>0</v>
      </c>
      <c r="I8" s="58" t="n">
        <f aca="false">E8</f>
        <v>0</v>
      </c>
      <c r="J8" s="57" t="n">
        <f aca="false">D8</f>
        <v>0</v>
      </c>
      <c r="K8" s="58" t="n">
        <f aca="false">E8</f>
        <v>0</v>
      </c>
    </row>
    <row r="9" customFormat="false" ht="15" hidden="false" customHeight="false" outlineLevel="0" collapsed="false">
      <c r="A9" s="54" t="s">
        <v>53</v>
      </c>
      <c r="B9" s="61" t="n">
        <f aca="false">SUM(B3:B8)</f>
        <v>0</v>
      </c>
      <c r="C9" s="62" t="n">
        <f aca="false">SUM(C3:C8)</f>
        <v>0</v>
      </c>
      <c r="D9" s="61" t="n">
        <f aca="false">SUM(D3:D8)</f>
        <v>100</v>
      </c>
      <c r="E9" s="62" t="n">
        <f aca="false">SUM(E3:E8)</f>
        <v>1</v>
      </c>
      <c r="F9" s="61" t="n">
        <f aca="false">SUM(F3:F8)</f>
        <v>30</v>
      </c>
      <c r="G9" s="62" t="n">
        <f aca="false">SUM(G3:G8)</f>
        <v>1</v>
      </c>
      <c r="H9" s="61" t="n">
        <f aca="false">SUM(H3:H8)</f>
        <v>30</v>
      </c>
      <c r="I9" s="62" t="n">
        <f aca="false">SUM(I3:I8)</f>
        <v>2</v>
      </c>
      <c r="J9" s="61" t="n">
        <f aca="false">SUM(J3:J8)</f>
        <v>100</v>
      </c>
      <c r="K9" s="62" t="n">
        <f aca="false">SUM(K3:K8)</f>
        <v>1</v>
      </c>
    </row>
    <row r="11" customFormat="false" ht="15" hidden="false" customHeight="false" outlineLevel="0" collapsed="false">
      <c r="A11" s="54" t="s">
        <v>6</v>
      </c>
      <c r="B11" s="45" t="n">
        <v>6</v>
      </c>
      <c r="C11" s="45"/>
      <c r="D11" s="45" t="n">
        <v>7</v>
      </c>
      <c r="E11" s="45"/>
      <c r="F11" s="45" t="n">
        <v>8</v>
      </c>
      <c r="G11" s="45"/>
      <c r="H11" s="45" t="n">
        <v>9</v>
      </c>
      <c r="I11" s="45"/>
      <c r="J11" s="45" t="n">
        <v>10</v>
      </c>
      <c r="K11" s="45"/>
    </row>
    <row r="12" customFormat="false" ht="15" hidden="false" customHeight="false" outlineLevel="0" collapsed="false">
      <c r="A12" s="54" t="s">
        <v>30</v>
      </c>
      <c r="B12" s="55" t="s">
        <v>108</v>
      </c>
      <c r="C12" s="56" t="s">
        <v>109</v>
      </c>
      <c r="D12" s="55" t="s">
        <v>108</v>
      </c>
      <c r="E12" s="56" t="s">
        <v>109</v>
      </c>
      <c r="F12" s="55" t="s">
        <v>108</v>
      </c>
      <c r="G12" s="56" t="s">
        <v>109</v>
      </c>
      <c r="H12" s="55" t="s">
        <v>108</v>
      </c>
      <c r="I12" s="56" t="s">
        <v>109</v>
      </c>
      <c r="J12" s="55" t="s">
        <v>108</v>
      </c>
      <c r="K12" s="56" t="s">
        <v>109</v>
      </c>
    </row>
    <row r="13" customFormat="false" ht="15" hidden="false" customHeight="false" outlineLevel="0" collapsed="false">
      <c r="A13" s="54" t="s">
        <v>38</v>
      </c>
      <c r="B13" s="57" t="n">
        <f aca="false">H3+J3</f>
        <v>30</v>
      </c>
      <c r="C13" s="58" t="n">
        <f aca="false">B13/B19</f>
        <v>0.230769230769231</v>
      </c>
      <c r="D13" s="57" t="n">
        <f aca="false">B13</f>
        <v>30</v>
      </c>
      <c r="E13" s="58" t="n">
        <f aca="false">C13</f>
        <v>0.230769230769231</v>
      </c>
      <c r="F13" s="57" t="n">
        <f aca="false">D13-N3</f>
        <v>30</v>
      </c>
      <c r="G13" s="58" t="n">
        <f aca="false">F13/F19</f>
        <v>0.230769230769231</v>
      </c>
      <c r="H13" s="57" t="n">
        <f aca="false">F13</f>
        <v>30</v>
      </c>
      <c r="I13" s="58" t="n">
        <f aca="false">G13</f>
        <v>0.230769230769231</v>
      </c>
      <c r="J13" s="57" t="n">
        <f aca="false">H13</f>
        <v>30</v>
      </c>
      <c r="K13" s="58" t="n">
        <f aca="false">I13</f>
        <v>0.230769230769231</v>
      </c>
    </row>
    <row r="14" customFormat="false" ht="15" hidden="false" customHeight="false" outlineLevel="0" collapsed="false">
      <c r="A14" s="54" t="s">
        <v>41</v>
      </c>
      <c r="B14" s="57" t="n">
        <f aca="false">H4+J4</f>
        <v>23</v>
      </c>
      <c r="C14" s="58" t="n">
        <f aca="false">B14/B19</f>
        <v>0.176923076923077</v>
      </c>
      <c r="D14" s="57" t="n">
        <f aca="false">B14</f>
        <v>23</v>
      </c>
      <c r="E14" s="58" t="n">
        <f aca="false">C14</f>
        <v>0.176923076923077</v>
      </c>
      <c r="F14" s="57" t="n">
        <f aca="false">D14-N4</f>
        <v>23</v>
      </c>
      <c r="G14" s="58" t="n">
        <f aca="false">F14/F19</f>
        <v>0.176923076923077</v>
      </c>
      <c r="H14" s="57" t="n">
        <f aca="false">F14</f>
        <v>23</v>
      </c>
      <c r="I14" s="58" t="n">
        <f aca="false">G14</f>
        <v>0.176923076923077</v>
      </c>
      <c r="J14" s="57" t="n">
        <f aca="false">H14</f>
        <v>23</v>
      </c>
      <c r="K14" s="58" t="n">
        <f aca="false">I14</f>
        <v>0.176923076923077</v>
      </c>
    </row>
    <row r="15" customFormat="false" ht="15" hidden="false" customHeight="false" outlineLevel="0" collapsed="false">
      <c r="A15" s="54" t="s">
        <v>43</v>
      </c>
      <c r="B15" s="57" t="n">
        <f aca="false">H5+J5</f>
        <v>20</v>
      </c>
      <c r="C15" s="58" t="n">
        <f aca="false">B15/B19</f>
        <v>0.153846153846154</v>
      </c>
      <c r="D15" s="57" t="n">
        <f aca="false">B15</f>
        <v>20</v>
      </c>
      <c r="E15" s="58" t="n">
        <f aca="false">C15</f>
        <v>0.153846153846154</v>
      </c>
      <c r="F15" s="57" t="n">
        <f aca="false">D15-N5</f>
        <v>20</v>
      </c>
      <c r="G15" s="58" t="n">
        <f aca="false">F15/F19</f>
        <v>0.153846153846154</v>
      </c>
      <c r="H15" s="57" t="n">
        <f aca="false">F15</f>
        <v>20</v>
      </c>
      <c r="I15" s="58" t="n">
        <f aca="false">G15</f>
        <v>0.153846153846154</v>
      </c>
      <c r="J15" s="57" t="n">
        <f aca="false">H15</f>
        <v>20</v>
      </c>
      <c r="K15" s="58" t="n">
        <f aca="false">I15</f>
        <v>0.153846153846154</v>
      </c>
    </row>
    <row r="16" customFormat="false" ht="15" hidden="false" customHeight="false" outlineLevel="0" collapsed="false">
      <c r="A16" s="54" t="s">
        <v>42</v>
      </c>
      <c r="B16" s="57" t="n">
        <f aca="false">H6+J6</f>
        <v>57</v>
      </c>
      <c r="C16" s="58" t="n">
        <f aca="false">B16/B19</f>
        <v>0.438461538461538</v>
      </c>
      <c r="D16" s="57" t="n">
        <f aca="false">B16</f>
        <v>57</v>
      </c>
      <c r="E16" s="58" t="n">
        <f aca="false">C16</f>
        <v>0.438461538461538</v>
      </c>
      <c r="F16" s="57" t="n">
        <f aca="false">D16-N6</f>
        <v>57</v>
      </c>
      <c r="G16" s="58" t="n">
        <f aca="false">F16/F19</f>
        <v>0.438461538461538</v>
      </c>
      <c r="H16" s="57" t="n">
        <f aca="false">F16</f>
        <v>57</v>
      </c>
      <c r="I16" s="58" t="n">
        <f aca="false">G16</f>
        <v>0.438461538461538</v>
      </c>
      <c r="J16" s="57" t="n">
        <f aca="false">H16</f>
        <v>57</v>
      </c>
      <c r="K16" s="58" t="n">
        <f aca="false">I16</f>
        <v>0.438461538461538</v>
      </c>
    </row>
    <row r="17" customFormat="false" ht="15" hidden="false" customHeight="false" outlineLevel="0" collapsed="false">
      <c r="A17" s="54" t="s">
        <v>46</v>
      </c>
      <c r="B17" s="57" t="n">
        <f aca="false">H7+J7</f>
        <v>0</v>
      </c>
      <c r="C17" s="58" t="n">
        <f aca="false">B17/B19</f>
        <v>0</v>
      </c>
      <c r="D17" s="57" t="n">
        <f aca="false">B17</f>
        <v>0</v>
      </c>
      <c r="E17" s="58" t="n">
        <f aca="false">C17</f>
        <v>0</v>
      </c>
      <c r="F17" s="57" t="n">
        <f aca="false">D17-N7</f>
        <v>0</v>
      </c>
      <c r="G17" s="58" t="n">
        <f aca="false">F17/F19</f>
        <v>0</v>
      </c>
      <c r="H17" s="57" t="n">
        <f aca="false">F17</f>
        <v>0</v>
      </c>
      <c r="I17" s="58" t="n">
        <f aca="false">G17</f>
        <v>0</v>
      </c>
      <c r="J17" s="57" t="n">
        <f aca="false">H17</f>
        <v>0</v>
      </c>
      <c r="K17" s="58" t="n">
        <f aca="false">I17</f>
        <v>0</v>
      </c>
    </row>
    <row r="18" customFormat="false" ht="15" hidden="false" customHeight="false" outlineLevel="0" collapsed="false">
      <c r="A18" s="54" t="s">
        <v>50</v>
      </c>
      <c r="B18" s="57" t="n">
        <f aca="false">H8+J8</f>
        <v>0</v>
      </c>
      <c r="C18" s="58" t="n">
        <f aca="false">B18/B19</f>
        <v>0</v>
      </c>
      <c r="D18" s="57" t="n">
        <f aca="false">B18</f>
        <v>0</v>
      </c>
      <c r="E18" s="58" t="n">
        <f aca="false">C18</f>
        <v>0</v>
      </c>
      <c r="F18" s="57" t="n">
        <f aca="false">D18-N8</f>
        <v>0</v>
      </c>
      <c r="G18" s="58" t="n">
        <f aca="false">F18/F19</f>
        <v>0</v>
      </c>
      <c r="H18" s="57" t="n">
        <f aca="false">F18</f>
        <v>0</v>
      </c>
      <c r="I18" s="58" t="n">
        <f aca="false">G18</f>
        <v>0</v>
      </c>
      <c r="J18" s="57" t="n">
        <f aca="false">H18</f>
        <v>0</v>
      </c>
      <c r="K18" s="58" t="n">
        <f aca="false">I18</f>
        <v>0</v>
      </c>
    </row>
    <row r="19" customFormat="false" ht="15" hidden="false" customHeight="false" outlineLevel="0" collapsed="false">
      <c r="A19" s="54" t="s">
        <v>53</v>
      </c>
      <c r="B19" s="61" t="n">
        <f aca="false">SUM(B13:B18)</f>
        <v>130</v>
      </c>
      <c r="C19" s="62" t="n">
        <f aca="false">SUM(C13:C18)</f>
        <v>1</v>
      </c>
      <c r="D19" s="61" t="n">
        <f aca="false">SUM(D13:D18)</f>
        <v>130</v>
      </c>
      <c r="E19" s="62" t="n">
        <f aca="false">SUM(E13:E18)</f>
        <v>1</v>
      </c>
      <c r="F19" s="61" t="n">
        <f aca="false">SUM(F13:F18)</f>
        <v>130</v>
      </c>
      <c r="G19" s="62" t="n">
        <f aca="false">SUM(G13:G18)</f>
        <v>1</v>
      </c>
      <c r="H19" s="61" t="n">
        <f aca="false">SUM(H13:H18)</f>
        <v>130</v>
      </c>
      <c r="I19" s="62" t="n">
        <f aca="false">SUM(I13:I18)</f>
        <v>1</v>
      </c>
      <c r="J19" s="61" t="n">
        <f aca="false">SUM(J13:J18)</f>
        <v>130</v>
      </c>
      <c r="K19" s="62" t="n">
        <f aca="false">SUM(K13:K18)</f>
        <v>1</v>
      </c>
    </row>
    <row r="21" customFormat="false" ht="15" hidden="false" customHeight="false" outlineLevel="0" collapsed="false">
      <c r="A21" s="54" t="s">
        <v>6</v>
      </c>
      <c r="B21" s="45" t="n">
        <v>11</v>
      </c>
      <c r="C21" s="45"/>
      <c r="D21" s="45" t="n">
        <v>12</v>
      </c>
      <c r="E21" s="45"/>
      <c r="F21" s="45" t="n">
        <v>13</v>
      </c>
      <c r="G21" s="45"/>
      <c r="H21" s="45" t="n">
        <v>14</v>
      </c>
      <c r="I21" s="45"/>
      <c r="J21" s="45" t="n">
        <v>15</v>
      </c>
      <c r="K21" s="45"/>
    </row>
    <row r="22" customFormat="false" ht="15" hidden="false" customHeight="false" outlineLevel="0" collapsed="false">
      <c r="A22" s="54" t="s">
        <v>30</v>
      </c>
      <c r="B22" s="55" t="s">
        <v>108</v>
      </c>
      <c r="C22" s="56" t="s">
        <v>109</v>
      </c>
      <c r="D22" s="55" t="s">
        <v>108</v>
      </c>
      <c r="E22" s="56" t="s">
        <v>109</v>
      </c>
      <c r="F22" s="55" t="s">
        <v>108</v>
      </c>
      <c r="G22" s="56" t="s">
        <v>109</v>
      </c>
      <c r="H22" s="55" t="s">
        <v>108</v>
      </c>
      <c r="I22" s="56" t="s">
        <v>109</v>
      </c>
      <c r="J22" s="55" t="s">
        <v>108</v>
      </c>
      <c r="K22" s="56" t="s">
        <v>109</v>
      </c>
    </row>
    <row r="23" customFormat="false" ht="15" hidden="false" customHeight="false" outlineLevel="0" collapsed="false">
      <c r="A23" s="54" t="s">
        <v>38</v>
      </c>
      <c r="B23" s="57"/>
      <c r="C23" s="58"/>
      <c r="D23" s="57"/>
      <c r="E23" s="58"/>
      <c r="F23" s="57"/>
      <c r="G23" s="58"/>
      <c r="H23" s="57"/>
      <c r="I23" s="58"/>
      <c r="J23" s="57"/>
      <c r="K23" s="58"/>
    </row>
    <row r="24" customFormat="false" ht="15" hidden="false" customHeight="false" outlineLevel="0" collapsed="false">
      <c r="A24" s="54" t="s">
        <v>41</v>
      </c>
      <c r="B24" s="57"/>
      <c r="C24" s="58"/>
      <c r="D24" s="57"/>
      <c r="E24" s="58"/>
      <c r="F24" s="57"/>
      <c r="G24" s="58"/>
      <c r="H24" s="57"/>
      <c r="I24" s="58"/>
      <c r="J24" s="57"/>
      <c r="K24" s="58"/>
    </row>
    <row r="25" customFormat="false" ht="15" hidden="false" customHeight="false" outlineLevel="0" collapsed="false">
      <c r="A25" s="54" t="s">
        <v>43</v>
      </c>
      <c r="B25" s="57"/>
      <c r="C25" s="58"/>
      <c r="D25" s="57"/>
      <c r="E25" s="58"/>
      <c r="F25" s="57"/>
      <c r="G25" s="58"/>
      <c r="H25" s="57"/>
      <c r="I25" s="58"/>
      <c r="J25" s="57"/>
      <c r="K25" s="58"/>
    </row>
    <row r="26" customFormat="false" ht="15" hidden="false" customHeight="false" outlineLevel="0" collapsed="false">
      <c r="A26" s="54" t="s">
        <v>42</v>
      </c>
      <c r="B26" s="57"/>
      <c r="C26" s="58"/>
      <c r="D26" s="57"/>
      <c r="E26" s="58"/>
      <c r="F26" s="57"/>
      <c r="G26" s="58"/>
      <c r="H26" s="57"/>
      <c r="I26" s="58"/>
      <c r="J26" s="57"/>
      <c r="K26" s="58"/>
    </row>
    <row r="27" customFormat="false" ht="15" hidden="false" customHeight="false" outlineLevel="0" collapsed="false">
      <c r="A27" s="54" t="s">
        <v>46</v>
      </c>
      <c r="B27" s="57"/>
      <c r="C27" s="58"/>
      <c r="D27" s="57"/>
      <c r="E27" s="58"/>
      <c r="F27" s="57"/>
      <c r="G27" s="58"/>
      <c r="H27" s="57"/>
      <c r="I27" s="58"/>
      <c r="J27" s="57"/>
      <c r="K27" s="58"/>
    </row>
    <row r="28" customFormat="false" ht="15" hidden="false" customHeight="false" outlineLevel="0" collapsed="false">
      <c r="A28" s="54" t="s">
        <v>50</v>
      </c>
      <c r="B28" s="57"/>
      <c r="C28" s="58"/>
      <c r="D28" s="57"/>
      <c r="E28" s="58"/>
      <c r="F28" s="57"/>
      <c r="G28" s="58"/>
      <c r="H28" s="57"/>
      <c r="I28" s="58"/>
      <c r="J28" s="57"/>
      <c r="K28" s="58"/>
    </row>
    <row r="29" customFormat="false" ht="15" hidden="false" customHeight="false" outlineLevel="0" collapsed="false">
      <c r="A29" s="54" t="s">
        <v>53</v>
      </c>
      <c r="B29" s="61" t="n">
        <f aca="false">SUM(B23:B28)</f>
        <v>0</v>
      </c>
      <c r="C29" s="62" t="n">
        <f aca="false">SUM(C23:C28)</f>
        <v>0</v>
      </c>
      <c r="D29" s="61" t="n">
        <f aca="false">SUM(D23:D28)</f>
        <v>0</v>
      </c>
      <c r="E29" s="62" t="n">
        <f aca="false">SUM(E23:E28)</f>
        <v>0</v>
      </c>
      <c r="F29" s="61" t="n">
        <f aca="false">SUM(F23:F28)</f>
        <v>0</v>
      </c>
      <c r="G29" s="62" t="n">
        <f aca="false">SUM(G23:G28)</f>
        <v>0</v>
      </c>
      <c r="H29" s="61" t="n">
        <f aca="false">SUM(H23:H28)</f>
        <v>0</v>
      </c>
      <c r="I29" s="62" t="n">
        <f aca="false">SUM(I23:I28)</f>
        <v>0</v>
      </c>
      <c r="J29" s="61" t="n">
        <f aca="false">SUM(J23:J28)</f>
        <v>0</v>
      </c>
      <c r="K29" s="62" t="n">
        <f aca="false">SUM(K23:K28)</f>
        <v>0</v>
      </c>
    </row>
    <row r="31" customFormat="false" ht="15" hidden="false" customHeight="false" outlineLevel="0" collapsed="false">
      <c r="A31" s="54" t="s">
        <v>6</v>
      </c>
      <c r="B31" s="45" t="n">
        <v>16</v>
      </c>
      <c r="C31" s="45"/>
      <c r="D31" s="45" t="n">
        <v>17</v>
      </c>
      <c r="E31" s="45"/>
      <c r="F31" s="45" t="n">
        <v>18</v>
      </c>
      <c r="G31" s="45"/>
      <c r="H31" s="45" t="n">
        <v>19</v>
      </c>
      <c r="I31" s="45"/>
      <c r="J31" s="45" t="n">
        <v>20</v>
      </c>
      <c r="K31" s="45"/>
    </row>
    <row r="32" customFormat="false" ht="15" hidden="false" customHeight="false" outlineLevel="0" collapsed="false">
      <c r="A32" s="54" t="s">
        <v>30</v>
      </c>
      <c r="B32" s="55" t="s">
        <v>108</v>
      </c>
      <c r="C32" s="56" t="s">
        <v>109</v>
      </c>
      <c r="D32" s="55" t="s">
        <v>108</v>
      </c>
      <c r="E32" s="56" t="s">
        <v>109</v>
      </c>
      <c r="F32" s="55" t="s">
        <v>108</v>
      </c>
      <c r="G32" s="56" t="s">
        <v>109</v>
      </c>
      <c r="H32" s="55" t="s">
        <v>108</v>
      </c>
      <c r="I32" s="56" t="s">
        <v>109</v>
      </c>
      <c r="J32" s="55" t="s">
        <v>108</v>
      </c>
      <c r="K32" s="56" t="s">
        <v>109</v>
      </c>
    </row>
    <row r="33" customFormat="false" ht="15" hidden="false" customHeight="false" outlineLevel="0" collapsed="false">
      <c r="A33" s="54" t="s">
        <v>38</v>
      </c>
      <c r="B33" s="57"/>
      <c r="C33" s="58"/>
      <c r="D33" s="57"/>
      <c r="E33" s="58"/>
      <c r="F33" s="57"/>
      <c r="G33" s="58"/>
      <c r="H33" s="57"/>
      <c r="I33" s="58"/>
      <c r="J33" s="57"/>
      <c r="K33" s="58"/>
    </row>
    <row r="34" customFormat="false" ht="15" hidden="false" customHeight="false" outlineLevel="0" collapsed="false">
      <c r="A34" s="54" t="s">
        <v>41</v>
      </c>
      <c r="B34" s="57"/>
      <c r="C34" s="58"/>
      <c r="D34" s="57"/>
      <c r="E34" s="58"/>
      <c r="F34" s="57"/>
      <c r="G34" s="58"/>
      <c r="H34" s="57"/>
      <c r="I34" s="58"/>
      <c r="J34" s="57"/>
      <c r="K34" s="58"/>
    </row>
    <row r="35" customFormat="false" ht="15" hidden="false" customHeight="false" outlineLevel="0" collapsed="false">
      <c r="A35" s="54" t="s">
        <v>43</v>
      </c>
      <c r="B35" s="57"/>
      <c r="C35" s="58"/>
      <c r="D35" s="57"/>
      <c r="E35" s="58"/>
      <c r="F35" s="57"/>
      <c r="G35" s="58"/>
      <c r="H35" s="57"/>
      <c r="I35" s="58"/>
      <c r="J35" s="57"/>
      <c r="K35" s="58"/>
    </row>
    <row r="36" customFormat="false" ht="15" hidden="false" customHeight="false" outlineLevel="0" collapsed="false">
      <c r="A36" s="54" t="s">
        <v>42</v>
      </c>
      <c r="B36" s="57"/>
      <c r="C36" s="58"/>
      <c r="D36" s="57"/>
      <c r="E36" s="58"/>
      <c r="F36" s="57"/>
      <c r="G36" s="58"/>
      <c r="H36" s="57"/>
      <c r="I36" s="58"/>
      <c r="J36" s="57"/>
      <c r="K36" s="58"/>
    </row>
    <row r="37" customFormat="false" ht="15" hidden="false" customHeight="false" outlineLevel="0" collapsed="false">
      <c r="A37" s="54" t="s">
        <v>46</v>
      </c>
      <c r="B37" s="57"/>
      <c r="C37" s="58"/>
      <c r="D37" s="57"/>
      <c r="E37" s="58"/>
      <c r="F37" s="57"/>
      <c r="G37" s="58"/>
      <c r="H37" s="57"/>
      <c r="I37" s="58"/>
      <c r="J37" s="57"/>
      <c r="K37" s="58"/>
    </row>
    <row r="38" customFormat="false" ht="15" hidden="false" customHeight="false" outlineLevel="0" collapsed="false">
      <c r="A38" s="54" t="s">
        <v>50</v>
      </c>
      <c r="B38" s="57"/>
      <c r="C38" s="58"/>
      <c r="D38" s="57"/>
      <c r="E38" s="58"/>
      <c r="F38" s="57"/>
      <c r="G38" s="58"/>
      <c r="H38" s="57"/>
      <c r="I38" s="58"/>
      <c r="J38" s="57"/>
      <c r="K38" s="58"/>
    </row>
    <row r="39" customFormat="false" ht="15" hidden="false" customHeight="false" outlineLevel="0" collapsed="false">
      <c r="A39" s="54" t="s">
        <v>53</v>
      </c>
      <c r="B39" s="61" t="n">
        <f aca="false">SUM(B33:B38)</f>
        <v>0</v>
      </c>
      <c r="C39" s="62" t="n">
        <f aca="false">SUM(C33:C38)</f>
        <v>0</v>
      </c>
      <c r="D39" s="61" t="n">
        <f aca="false">SUM(D33:D38)</f>
        <v>0</v>
      </c>
      <c r="E39" s="62" t="n">
        <f aca="false">SUM(E33:E38)</f>
        <v>0</v>
      </c>
      <c r="F39" s="61" t="n">
        <f aca="false">SUM(F33:F38)</f>
        <v>0</v>
      </c>
      <c r="G39" s="62" t="n">
        <f aca="false">SUM(G33:G38)</f>
        <v>0</v>
      </c>
      <c r="H39" s="61" t="n">
        <f aca="false">SUM(H33:H38)</f>
        <v>0</v>
      </c>
      <c r="I39" s="62" t="n">
        <f aca="false">SUM(I33:I38)</f>
        <v>0</v>
      </c>
      <c r="J39" s="61" t="n">
        <f aca="false">SUM(J33:J38)</f>
        <v>0</v>
      </c>
      <c r="K39" s="62" t="n">
        <f aca="false">SUM(K33:K38)</f>
        <v>0</v>
      </c>
    </row>
    <row r="41" customFormat="false" ht="15" hidden="false" customHeight="false" outlineLevel="0" collapsed="false">
      <c r="A41" s="54" t="s">
        <v>6</v>
      </c>
      <c r="B41" s="45" t="n">
        <v>21</v>
      </c>
      <c r="C41" s="45"/>
      <c r="D41" s="45" t="n">
        <v>22</v>
      </c>
      <c r="E41" s="45"/>
      <c r="F41" s="45" t="n">
        <v>23</v>
      </c>
      <c r="G41" s="45"/>
      <c r="H41" s="45" t="n">
        <v>24</v>
      </c>
      <c r="I41" s="45"/>
      <c r="J41" s="45" t="n">
        <v>25</v>
      </c>
      <c r="K41" s="45"/>
    </row>
    <row r="42" customFormat="false" ht="15" hidden="false" customHeight="false" outlineLevel="0" collapsed="false">
      <c r="A42" s="54" t="s">
        <v>30</v>
      </c>
      <c r="B42" s="55" t="s">
        <v>108</v>
      </c>
      <c r="C42" s="56" t="s">
        <v>109</v>
      </c>
      <c r="D42" s="55" t="s">
        <v>108</v>
      </c>
      <c r="E42" s="56" t="s">
        <v>109</v>
      </c>
      <c r="F42" s="55" t="s">
        <v>108</v>
      </c>
      <c r="G42" s="56" t="s">
        <v>109</v>
      </c>
      <c r="H42" s="55" t="s">
        <v>108</v>
      </c>
      <c r="I42" s="56" t="s">
        <v>109</v>
      </c>
      <c r="J42" s="55" t="s">
        <v>108</v>
      </c>
      <c r="K42" s="56" t="s">
        <v>109</v>
      </c>
    </row>
    <row r="43" customFormat="false" ht="15" hidden="false" customHeight="false" outlineLevel="0" collapsed="false">
      <c r="A43" s="54" t="s">
        <v>38</v>
      </c>
      <c r="B43" s="57"/>
      <c r="C43" s="58"/>
      <c r="D43" s="57"/>
      <c r="E43" s="58"/>
      <c r="F43" s="57"/>
      <c r="G43" s="58"/>
      <c r="H43" s="57"/>
      <c r="I43" s="58"/>
      <c r="J43" s="57"/>
      <c r="K43" s="58"/>
    </row>
    <row r="44" customFormat="false" ht="15" hidden="false" customHeight="false" outlineLevel="0" collapsed="false">
      <c r="A44" s="54" t="s">
        <v>41</v>
      </c>
      <c r="B44" s="57"/>
      <c r="C44" s="58"/>
      <c r="D44" s="57"/>
      <c r="E44" s="58"/>
      <c r="F44" s="57"/>
      <c r="G44" s="58"/>
      <c r="H44" s="57"/>
      <c r="I44" s="58"/>
      <c r="J44" s="57"/>
      <c r="K44" s="58"/>
    </row>
    <row r="45" customFormat="false" ht="15" hidden="false" customHeight="false" outlineLevel="0" collapsed="false">
      <c r="A45" s="54" t="s">
        <v>43</v>
      </c>
      <c r="B45" s="57"/>
      <c r="C45" s="58"/>
      <c r="D45" s="57"/>
      <c r="E45" s="58"/>
      <c r="F45" s="57"/>
      <c r="G45" s="58"/>
      <c r="H45" s="57"/>
      <c r="I45" s="58"/>
      <c r="J45" s="57"/>
      <c r="K45" s="58"/>
    </row>
    <row r="46" customFormat="false" ht="15" hidden="false" customHeight="false" outlineLevel="0" collapsed="false">
      <c r="A46" s="54" t="s">
        <v>42</v>
      </c>
      <c r="B46" s="57"/>
      <c r="C46" s="58"/>
      <c r="D46" s="57"/>
      <c r="E46" s="58"/>
      <c r="F46" s="57"/>
      <c r="G46" s="58"/>
      <c r="H46" s="57"/>
      <c r="I46" s="58"/>
      <c r="J46" s="57"/>
      <c r="K46" s="58"/>
    </row>
    <row r="47" customFormat="false" ht="15" hidden="false" customHeight="false" outlineLevel="0" collapsed="false">
      <c r="A47" s="54" t="s">
        <v>46</v>
      </c>
      <c r="B47" s="57"/>
      <c r="C47" s="58"/>
      <c r="D47" s="57"/>
      <c r="E47" s="58"/>
      <c r="F47" s="57"/>
      <c r="G47" s="58"/>
      <c r="H47" s="57"/>
      <c r="I47" s="58"/>
      <c r="J47" s="57"/>
      <c r="K47" s="58"/>
    </row>
    <row r="48" customFormat="false" ht="15" hidden="false" customHeight="false" outlineLevel="0" collapsed="false">
      <c r="A48" s="54" t="s">
        <v>50</v>
      </c>
      <c r="B48" s="57"/>
      <c r="C48" s="58"/>
      <c r="D48" s="57"/>
      <c r="E48" s="58"/>
      <c r="F48" s="57"/>
      <c r="G48" s="58"/>
      <c r="H48" s="57"/>
      <c r="I48" s="58"/>
      <c r="J48" s="57"/>
      <c r="K48" s="58"/>
    </row>
    <row r="49" customFormat="false" ht="15" hidden="false" customHeight="false" outlineLevel="0" collapsed="false">
      <c r="A49" s="54" t="s">
        <v>53</v>
      </c>
      <c r="B49" s="61" t="n">
        <f aca="false">SUM(B43:B48)</f>
        <v>0</v>
      </c>
      <c r="C49" s="62" t="n">
        <f aca="false">SUM(C43:C48)</f>
        <v>0</v>
      </c>
      <c r="D49" s="61" t="n">
        <f aca="false">SUM(D43:D48)</f>
        <v>0</v>
      </c>
      <c r="E49" s="62" t="n">
        <f aca="false">SUM(E43:E48)</f>
        <v>0</v>
      </c>
      <c r="F49" s="61" t="n">
        <f aca="false">SUM(F43:F48)</f>
        <v>0</v>
      </c>
      <c r="G49" s="62" t="n">
        <f aca="false">SUM(G43:G48)</f>
        <v>0</v>
      </c>
      <c r="H49" s="61" t="n">
        <f aca="false">SUM(H43:H48)</f>
        <v>0</v>
      </c>
      <c r="I49" s="62" t="n">
        <f aca="false">SUM(I43:I48)</f>
        <v>0</v>
      </c>
      <c r="J49" s="61" t="n">
        <f aca="false">SUM(J43:J48)</f>
        <v>0</v>
      </c>
      <c r="K49" s="62" t="n">
        <f aca="false">SUM(K43:K48)</f>
        <v>0</v>
      </c>
    </row>
    <row r="51" customFormat="false" ht="15" hidden="false" customHeight="false" outlineLevel="0" collapsed="false">
      <c r="A51" s="54" t="s">
        <v>6</v>
      </c>
      <c r="B51" s="45" t="n">
        <v>26</v>
      </c>
      <c r="C51" s="45"/>
      <c r="D51" s="45" t="n">
        <v>27</v>
      </c>
      <c r="E51" s="45"/>
      <c r="F51" s="45" t="n">
        <v>28</v>
      </c>
      <c r="G51" s="45"/>
      <c r="H51" s="45"/>
      <c r="I51" s="45"/>
      <c r="J51" s="45"/>
      <c r="K51" s="45"/>
    </row>
    <row r="52" customFormat="false" ht="15" hidden="false" customHeight="false" outlineLevel="0" collapsed="false">
      <c r="A52" s="54" t="s">
        <v>30</v>
      </c>
      <c r="B52" s="55" t="s">
        <v>108</v>
      </c>
      <c r="C52" s="56" t="s">
        <v>109</v>
      </c>
      <c r="D52" s="55" t="s">
        <v>108</v>
      </c>
      <c r="E52" s="56" t="s">
        <v>109</v>
      </c>
      <c r="F52" s="55" t="s">
        <v>108</v>
      </c>
      <c r="G52" s="56" t="s">
        <v>109</v>
      </c>
      <c r="H52" s="55" t="s">
        <v>108</v>
      </c>
      <c r="I52" s="56" t="s">
        <v>109</v>
      </c>
      <c r="J52" s="55" t="s">
        <v>108</v>
      </c>
      <c r="K52" s="56" t="s">
        <v>109</v>
      </c>
    </row>
    <row r="53" customFormat="false" ht="15" hidden="false" customHeight="false" outlineLevel="0" collapsed="false">
      <c r="A53" s="54" t="s">
        <v>38</v>
      </c>
      <c r="B53" s="57"/>
      <c r="C53" s="58"/>
      <c r="D53" s="57"/>
      <c r="E53" s="58"/>
      <c r="F53" s="57"/>
      <c r="G53" s="58"/>
      <c r="H53" s="57"/>
      <c r="I53" s="58"/>
      <c r="J53" s="57"/>
      <c r="K53" s="58"/>
    </row>
    <row r="54" customFormat="false" ht="15" hidden="false" customHeight="false" outlineLevel="0" collapsed="false">
      <c r="A54" s="54" t="s">
        <v>41</v>
      </c>
      <c r="B54" s="57"/>
      <c r="C54" s="58"/>
      <c r="D54" s="57"/>
      <c r="E54" s="58"/>
      <c r="F54" s="57"/>
      <c r="G54" s="58"/>
      <c r="H54" s="57"/>
      <c r="I54" s="58"/>
      <c r="J54" s="57"/>
      <c r="K54" s="58"/>
    </row>
    <row r="55" customFormat="false" ht="15" hidden="false" customHeight="false" outlineLevel="0" collapsed="false">
      <c r="A55" s="54" t="s">
        <v>43</v>
      </c>
      <c r="B55" s="57"/>
      <c r="C55" s="58"/>
      <c r="D55" s="57"/>
      <c r="E55" s="58"/>
      <c r="F55" s="57"/>
      <c r="G55" s="58"/>
      <c r="H55" s="57"/>
      <c r="I55" s="58"/>
      <c r="J55" s="57"/>
      <c r="K55" s="58"/>
    </row>
    <row r="56" customFormat="false" ht="15" hidden="false" customHeight="false" outlineLevel="0" collapsed="false">
      <c r="A56" s="54" t="s">
        <v>42</v>
      </c>
      <c r="B56" s="57"/>
      <c r="C56" s="58"/>
      <c r="D56" s="57"/>
      <c r="E56" s="58"/>
      <c r="F56" s="57"/>
      <c r="G56" s="58"/>
      <c r="H56" s="57"/>
      <c r="I56" s="58"/>
      <c r="J56" s="57"/>
      <c r="K56" s="58"/>
    </row>
    <row r="57" customFormat="false" ht="15" hidden="false" customHeight="false" outlineLevel="0" collapsed="false">
      <c r="A57" s="54" t="s">
        <v>46</v>
      </c>
      <c r="B57" s="57"/>
      <c r="C57" s="58"/>
      <c r="D57" s="57"/>
      <c r="E57" s="58"/>
      <c r="F57" s="57"/>
      <c r="G57" s="58"/>
      <c r="H57" s="57"/>
      <c r="I57" s="58"/>
      <c r="J57" s="57"/>
      <c r="K57" s="58"/>
    </row>
    <row r="58" customFormat="false" ht="15" hidden="false" customHeight="false" outlineLevel="0" collapsed="false">
      <c r="A58" s="54" t="s">
        <v>50</v>
      </c>
      <c r="B58" s="57"/>
      <c r="C58" s="58"/>
      <c r="D58" s="57"/>
      <c r="E58" s="58"/>
      <c r="F58" s="57"/>
      <c r="G58" s="58"/>
      <c r="H58" s="57"/>
      <c r="I58" s="58"/>
      <c r="J58" s="57"/>
      <c r="K58" s="58"/>
    </row>
    <row r="59" customFormat="false" ht="15" hidden="false" customHeight="false" outlineLevel="0" collapsed="false">
      <c r="A59" s="54" t="s">
        <v>53</v>
      </c>
      <c r="B59" s="61" t="n">
        <f aca="false">SUM(B53:B58)</f>
        <v>0</v>
      </c>
      <c r="C59" s="62" t="n">
        <f aca="false">SUM(C53:C58)</f>
        <v>0</v>
      </c>
      <c r="D59" s="61" t="n">
        <f aca="false">SUM(D53:D58)</f>
        <v>0</v>
      </c>
      <c r="E59" s="62" t="n">
        <f aca="false">SUM(E53:E58)</f>
        <v>0</v>
      </c>
      <c r="F59" s="61" t="n">
        <f aca="false">SUM(F53:F58)</f>
        <v>0</v>
      </c>
      <c r="G59" s="62" t="n">
        <f aca="false">SUM(G53:G58)</f>
        <v>0</v>
      </c>
      <c r="H59" s="61"/>
      <c r="I59" s="62"/>
      <c r="J59" s="61"/>
      <c r="K59" s="62"/>
    </row>
  </sheetData>
  <mergeCells count="30">
    <mergeCell ref="B1:C1"/>
    <mergeCell ref="D1:E1"/>
    <mergeCell ref="F1:G1"/>
    <mergeCell ref="H1:I1"/>
    <mergeCell ref="J1:K1"/>
    <mergeCell ref="B11:C11"/>
    <mergeCell ref="D11:E11"/>
    <mergeCell ref="F11:G11"/>
    <mergeCell ref="H11:I11"/>
    <mergeCell ref="J11:K11"/>
    <mergeCell ref="B21:C21"/>
    <mergeCell ref="D21:E21"/>
    <mergeCell ref="F21:G21"/>
    <mergeCell ref="H21:I21"/>
    <mergeCell ref="J21:K21"/>
    <mergeCell ref="B31:C31"/>
    <mergeCell ref="D31:E31"/>
    <mergeCell ref="F31:G31"/>
    <mergeCell ref="H31:I31"/>
    <mergeCell ref="J31:K31"/>
    <mergeCell ref="B41:C41"/>
    <mergeCell ref="D41:E41"/>
    <mergeCell ref="F41:G41"/>
    <mergeCell ref="H41:I41"/>
    <mergeCell ref="J41:K41"/>
    <mergeCell ref="B51:C51"/>
    <mergeCell ref="D51:E51"/>
    <mergeCell ref="F51:G51"/>
    <mergeCell ref="H51:I51"/>
    <mergeCell ref="J51:K5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K38"/>
  <sheetViews>
    <sheetView windowProtection="false" showFormulas="false" showGridLines="true" showRowColHeaders="true" showZeros="true" rightToLeft="false" tabSelected="false" showOutlineSymbols="true" defaultGridColor="true" view="normal" topLeftCell="A32" colorId="64" zoomScale="95" zoomScaleNormal="95" zoomScalePageLayoutView="100" workbookViewId="0">
      <selection pane="topLeft" activeCell="B38" activeCellId="0" sqref="B38"/>
    </sheetView>
  </sheetViews>
  <sheetFormatPr defaultRowHeight="15"/>
  <cols>
    <col collapsed="false" hidden="false" max="1" min="1" style="47" width="16.5663265306122"/>
    <col collapsed="false" hidden="false" max="2" min="2" style="47" width="20.7091836734694"/>
    <col collapsed="false" hidden="false" max="3" min="3" style="47" width="19.2857142857143"/>
    <col collapsed="false" hidden="false" max="4" min="4" style="47" width="9.14285714285714"/>
    <col collapsed="false" hidden="false" max="5" min="5" style="47" width="16"/>
    <col collapsed="false" hidden="false" max="6" min="6" style="47" width="18.4234693877551"/>
    <col collapsed="false" hidden="false" max="7" min="7" style="47" width="16.1428571428571"/>
    <col collapsed="false" hidden="false" max="8" min="8" style="47" width="5.13775510204082"/>
    <col collapsed="false" hidden="false" max="9" min="9" style="47" width="17.4234693877551"/>
    <col collapsed="false" hidden="false" max="10" min="10" style="47" width="19"/>
    <col collapsed="false" hidden="false" max="11" min="11" style="47" width="18.1428571428571"/>
    <col collapsed="false" hidden="false" max="1025" min="12" style="47" width="9.14285714285714"/>
  </cols>
  <sheetData>
    <row r="1" customFormat="false" ht="15" hidden="false" customHeight="false" outlineLevel="0" collapsed="false">
      <c r="A1" s="46" t="s">
        <v>90</v>
      </c>
      <c r="B1" s="46"/>
      <c r="C1" s="46"/>
      <c r="D1" s="40"/>
      <c r="E1" s="46" t="s">
        <v>91</v>
      </c>
      <c r="F1" s="46"/>
      <c r="G1" s="46"/>
      <c r="I1" s="46" t="s">
        <v>91</v>
      </c>
      <c r="J1" s="46"/>
      <c r="K1" s="46"/>
    </row>
    <row r="2" customFormat="false" ht="15" hidden="false" customHeight="false" outlineLevel="0" collapsed="false">
      <c r="A2" s="48" t="s">
        <v>92</v>
      </c>
      <c r="B2" s="48"/>
      <c r="C2" s="48"/>
      <c r="D2" s="40"/>
      <c r="E2" s="48" t="s">
        <v>93</v>
      </c>
      <c r="F2" s="48"/>
      <c r="G2" s="48"/>
      <c r="I2" s="48" t="s">
        <v>94</v>
      </c>
      <c r="J2" s="48"/>
      <c r="K2" s="48"/>
    </row>
    <row r="3" customFormat="false" ht="15" hidden="false" customHeight="false" outlineLevel="0" collapsed="false">
      <c r="A3" s="40"/>
      <c r="B3" s="40" t="s">
        <v>95</v>
      </c>
      <c r="C3" s="40" t="s">
        <v>96</v>
      </c>
      <c r="D3" s="40"/>
      <c r="E3" s="40"/>
      <c r="F3" s="40" t="s">
        <v>95</v>
      </c>
      <c r="G3" s="40" t="s">
        <v>96</v>
      </c>
      <c r="I3" s="40"/>
      <c r="J3" s="40" t="s">
        <v>95</v>
      </c>
      <c r="K3" s="40" t="s">
        <v>96</v>
      </c>
    </row>
    <row r="4" customFormat="false" ht="15" hidden="false" customHeight="false" outlineLevel="0" collapsed="false">
      <c r="A4" s="40" t="s">
        <v>38</v>
      </c>
      <c r="B4" s="40" t="n">
        <v>61.1145777777778</v>
      </c>
      <c r="C4" s="40" t="n">
        <f aca="false">B4*B31</f>
        <v>1958.111072</v>
      </c>
      <c r="D4" s="40"/>
      <c r="E4" s="40" t="s">
        <v>38</v>
      </c>
      <c r="F4" s="40"/>
      <c r="G4" s="40" t="n">
        <f aca="false">F4*B31</f>
        <v>0</v>
      </c>
      <c r="I4" s="40" t="s">
        <v>38</v>
      </c>
      <c r="J4" s="40"/>
      <c r="K4" s="40" t="n">
        <f aca="false">J4*B31</f>
        <v>0</v>
      </c>
    </row>
    <row r="5" customFormat="false" ht="15" hidden="false" customHeight="false" outlineLevel="0" collapsed="false">
      <c r="A5" s="40" t="s">
        <v>41</v>
      </c>
      <c r="B5" s="40" t="n">
        <v>0</v>
      </c>
      <c r="C5" s="40" t="n">
        <f aca="false">B5*B32</f>
        <v>0</v>
      </c>
      <c r="D5" s="40"/>
      <c r="E5" s="40" t="s">
        <v>41</v>
      </c>
      <c r="F5" s="40"/>
      <c r="G5" s="40" t="n">
        <f aca="false">F5*B32</f>
        <v>0</v>
      </c>
      <c r="I5" s="40" t="s">
        <v>41</v>
      </c>
      <c r="J5" s="40"/>
      <c r="K5" s="40" t="n">
        <f aca="false">J5*B32</f>
        <v>0</v>
      </c>
    </row>
    <row r="6" customFormat="false" ht="15" hidden="false" customHeight="false" outlineLevel="0" collapsed="false">
      <c r="A6" s="40" t="s">
        <v>40</v>
      </c>
      <c r="B6" s="40" t="n">
        <v>0</v>
      </c>
      <c r="C6" s="40" t="n">
        <f aca="false">B6*B33</f>
        <v>0</v>
      </c>
      <c r="D6" s="40"/>
      <c r="E6" s="40" t="s">
        <v>40</v>
      </c>
      <c r="F6" s="40"/>
      <c r="G6" s="40" t="n">
        <f aca="false">F6*B33</f>
        <v>0</v>
      </c>
      <c r="I6" s="40" t="s">
        <v>40</v>
      </c>
      <c r="J6" s="40"/>
      <c r="K6" s="40" t="n">
        <f aca="false">J6*B33</f>
        <v>0</v>
      </c>
    </row>
    <row r="7" customFormat="false" ht="15" hidden="false" customHeight="false" outlineLevel="0" collapsed="false">
      <c r="A7" s="40" t="s">
        <v>42</v>
      </c>
      <c r="B7" s="40" t="n">
        <v>0</v>
      </c>
      <c r="C7" s="40" t="n">
        <f aca="false">B7*B34</f>
        <v>0</v>
      </c>
      <c r="D7" s="40"/>
      <c r="E7" s="40" t="s">
        <v>42</v>
      </c>
      <c r="F7" s="40"/>
      <c r="G7" s="40" t="n">
        <f aca="false">F7*B34</f>
        <v>0</v>
      </c>
      <c r="I7" s="40" t="s">
        <v>42</v>
      </c>
      <c r="J7" s="40"/>
      <c r="K7" s="40" t="n">
        <f aca="false">J7*B34</f>
        <v>0</v>
      </c>
    </row>
    <row r="8" customFormat="false" ht="15" hidden="false" customHeight="false" outlineLevel="0" collapsed="false">
      <c r="A8" s="40" t="s">
        <v>46</v>
      </c>
      <c r="B8" s="40" t="n">
        <v>0</v>
      </c>
      <c r="C8" s="40" t="n">
        <f aca="false">B8*B35</f>
        <v>0</v>
      </c>
      <c r="D8" s="40"/>
      <c r="E8" s="40" t="s">
        <v>46</v>
      </c>
      <c r="F8" s="40"/>
      <c r="G8" s="40" t="n">
        <f aca="false">F8*B35</f>
        <v>0</v>
      </c>
      <c r="I8" s="40" t="s">
        <v>46</v>
      </c>
      <c r="J8" s="40"/>
      <c r="K8" s="40" t="n">
        <f aca="false">J8*B35</f>
        <v>0</v>
      </c>
    </row>
    <row r="9" customFormat="false" ht="15" hidden="false" customHeight="false" outlineLevel="0" collapsed="false">
      <c r="A9" s="40" t="s">
        <v>50</v>
      </c>
      <c r="B9" s="40" t="n">
        <v>0</v>
      </c>
      <c r="C9" s="40" t="n">
        <f aca="false">B9*B36</f>
        <v>0</v>
      </c>
      <c r="D9" s="40"/>
      <c r="E9" s="40" t="s">
        <v>50</v>
      </c>
      <c r="F9" s="40"/>
      <c r="G9" s="40" t="n">
        <f aca="false">F9*B36</f>
        <v>0</v>
      </c>
      <c r="I9" s="40" t="s">
        <v>50</v>
      </c>
      <c r="J9" s="40"/>
      <c r="K9" s="40" t="n">
        <f aca="false">J9*B36</f>
        <v>0</v>
      </c>
    </row>
    <row r="10" customFormat="false" ht="15" hidden="false" customHeight="false" outlineLevel="0" collapsed="false">
      <c r="A10" s="40"/>
      <c r="B10" s="40"/>
      <c r="C10" s="40"/>
      <c r="D10" s="40"/>
      <c r="E10" s="40"/>
      <c r="F10" s="40"/>
      <c r="G10" s="40"/>
      <c r="I10" s="40"/>
      <c r="J10" s="40"/>
      <c r="K10" s="40"/>
    </row>
    <row r="11" customFormat="false" ht="15" hidden="false" customHeight="false" outlineLevel="0" collapsed="false">
      <c r="A11" s="48" t="s">
        <v>97</v>
      </c>
      <c r="B11" s="48"/>
      <c r="C11" s="48"/>
      <c r="D11" s="40"/>
      <c r="E11" s="48" t="s">
        <v>98</v>
      </c>
      <c r="F11" s="48"/>
      <c r="G11" s="48"/>
      <c r="I11" s="48" t="s">
        <v>99</v>
      </c>
      <c r="J11" s="48"/>
      <c r="K11" s="48"/>
    </row>
    <row r="12" customFormat="false" ht="15" hidden="false" customHeight="false" outlineLevel="0" collapsed="false">
      <c r="A12" s="40"/>
      <c r="B12" s="40" t="s">
        <v>95</v>
      </c>
      <c r="C12" s="40" t="s">
        <v>96</v>
      </c>
      <c r="D12" s="40"/>
      <c r="E12" s="40"/>
      <c r="F12" s="40" t="s">
        <v>95</v>
      </c>
      <c r="G12" s="40" t="s">
        <v>96</v>
      </c>
      <c r="I12" s="40"/>
      <c r="J12" s="40" t="s">
        <v>95</v>
      </c>
      <c r="K12" s="40" t="s">
        <v>96</v>
      </c>
    </row>
    <row r="13" customFormat="false" ht="15" hidden="false" customHeight="false" outlineLevel="0" collapsed="false">
      <c r="A13" s="40" t="s">
        <v>38</v>
      </c>
      <c r="B13" s="40" t="n">
        <v>0</v>
      </c>
      <c r="C13" s="40" t="n">
        <f aca="false">B13*B31</f>
        <v>0</v>
      </c>
      <c r="D13" s="40"/>
      <c r="E13" s="40" t="s">
        <v>38</v>
      </c>
      <c r="F13" s="40"/>
      <c r="G13" s="40" t="n">
        <f aca="false">F13*B31</f>
        <v>0</v>
      </c>
      <c r="I13" s="40" t="s">
        <v>38</v>
      </c>
      <c r="J13" s="40"/>
      <c r="K13" s="40" t="n">
        <f aca="false">J13*B31</f>
        <v>0</v>
      </c>
    </row>
    <row r="14" customFormat="false" ht="15" hidden="false" customHeight="false" outlineLevel="0" collapsed="false">
      <c r="A14" s="40" t="s">
        <v>41</v>
      </c>
      <c r="B14" s="40" t="n">
        <v>23</v>
      </c>
      <c r="C14" s="40" t="n">
        <f aca="false">B14*B32</f>
        <v>1290.53</v>
      </c>
      <c r="D14" s="40"/>
      <c r="E14" s="40" t="s">
        <v>41</v>
      </c>
      <c r="F14" s="40"/>
      <c r="G14" s="40" t="n">
        <f aca="false">F14*B32</f>
        <v>0</v>
      </c>
      <c r="I14" s="40" t="s">
        <v>41</v>
      </c>
      <c r="J14" s="40"/>
      <c r="K14" s="40" t="n">
        <f aca="false">J14*B32</f>
        <v>0</v>
      </c>
    </row>
    <row r="15" customFormat="false" ht="15" hidden="false" customHeight="false" outlineLevel="0" collapsed="false">
      <c r="A15" s="40" t="s">
        <v>40</v>
      </c>
      <c r="B15" s="40" t="n">
        <v>20</v>
      </c>
      <c r="C15" s="40" t="n">
        <f aca="false">B15*B33</f>
        <v>1122.2</v>
      </c>
      <c r="D15" s="40"/>
      <c r="E15" s="40" t="s">
        <v>40</v>
      </c>
      <c r="F15" s="40"/>
      <c r="G15" s="40" t="n">
        <f aca="false">F15*B33</f>
        <v>0</v>
      </c>
      <c r="I15" s="40" t="s">
        <v>40</v>
      </c>
      <c r="J15" s="40"/>
      <c r="K15" s="40" t="n">
        <f aca="false">J15*B33</f>
        <v>0</v>
      </c>
    </row>
    <row r="16" customFormat="false" ht="15" hidden="false" customHeight="false" outlineLevel="0" collapsed="false">
      <c r="A16" s="40" t="s">
        <v>42</v>
      </c>
      <c r="B16" s="40" t="n">
        <v>57</v>
      </c>
      <c r="C16" s="40" t="n">
        <f aca="false">B16*B34</f>
        <v>3198.27</v>
      </c>
      <c r="D16" s="40"/>
      <c r="E16" s="40" t="s">
        <v>42</v>
      </c>
      <c r="F16" s="40"/>
      <c r="G16" s="40" t="n">
        <f aca="false">F16*B34</f>
        <v>0</v>
      </c>
      <c r="I16" s="40" t="s">
        <v>42</v>
      </c>
      <c r="J16" s="40"/>
      <c r="K16" s="40" t="n">
        <f aca="false">J16*B34</f>
        <v>0</v>
      </c>
    </row>
    <row r="17" customFormat="false" ht="15" hidden="false" customHeight="false" outlineLevel="0" collapsed="false">
      <c r="A17" s="40" t="s">
        <v>46</v>
      </c>
      <c r="B17" s="40" t="n">
        <v>0</v>
      </c>
      <c r="C17" s="40" t="n">
        <f aca="false">B17*B35</f>
        <v>0</v>
      </c>
      <c r="D17" s="40"/>
      <c r="E17" s="40" t="s">
        <v>46</v>
      </c>
      <c r="F17" s="40"/>
      <c r="G17" s="40" t="n">
        <f aca="false">F17*B35</f>
        <v>0</v>
      </c>
      <c r="I17" s="40" t="s">
        <v>46</v>
      </c>
      <c r="J17" s="40"/>
      <c r="K17" s="40" t="n">
        <f aca="false">J17*B35</f>
        <v>0</v>
      </c>
    </row>
    <row r="18" customFormat="false" ht="15" hidden="false" customHeight="false" outlineLevel="0" collapsed="false">
      <c r="A18" s="40" t="s">
        <v>50</v>
      </c>
      <c r="B18" s="40" t="n">
        <v>0</v>
      </c>
      <c r="C18" s="40" t="n">
        <f aca="false">B18*B36</f>
        <v>0</v>
      </c>
      <c r="D18" s="40"/>
      <c r="E18" s="40" t="s">
        <v>50</v>
      </c>
      <c r="F18" s="40"/>
      <c r="G18" s="40" t="n">
        <f aca="false">F18*B36</f>
        <v>0</v>
      </c>
      <c r="I18" s="40" t="s">
        <v>50</v>
      </c>
      <c r="J18" s="40"/>
      <c r="K18" s="40" t="n">
        <f aca="false">J18*B36</f>
        <v>0</v>
      </c>
    </row>
    <row r="19" customFormat="false" ht="15" hidden="false" customHeight="false" outlineLevel="0" collapsed="false">
      <c r="A19" s="40"/>
      <c r="B19" s="40"/>
      <c r="C19" s="40"/>
      <c r="D19" s="40"/>
      <c r="E19" s="40"/>
      <c r="F19" s="40"/>
      <c r="G19" s="40"/>
      <c r="I19" s="40"/>
      <c r="J19" s="40"/>
      <c r="K19" s="40"/>
    </row>
    <row r="20" customFormat="false" ht="15" hidden="false" customHeight="false" outlineLevel="0" collapsed="false">
      <c r="A20" s="48" t="s">
        <v>100</v>
      </c>
      <c r="B20" s="48"/>
      <c r="C20" s="48"/>
      <c r="D20" s="40"/>
      <c r="E20" s="48" t="s">
        <v>101</v>
      </c>
      <c r="F20" s="48"/>
      <c r="G20" s="48"/>
      <c r="I20" s="48" t="s">
        <v>102</v>
      </c>
      <c r="J20" s="48"/>
      <c r="K20" s="48"/>
    </row>
    <row r="21" customFormat="false" ht="15" hidden="false" customHeight="false" outlineLevel="0" collapsed="false">
      <c r="A21" s="40"/>
      <c r="B21" s="40" t="s">
        <v>95</v>
      </c>
      <c r="C21" s="40" t="s">
        <v>96</v>
      </c>
      <c r="D21" s="40"/>
      <c r="E21" s="40"/>
      <c r="F21" s="40" t="s">
        <v>95</v>
      </c>
      <c r="G21" s="40" t="s">
        <v>96</v>
      </c>
      <c r="I21" s="40"/>
      <c r="J21" s="40" t="s">
        <v>95</v>
      </c>
      <c r="K21" s="40" t="s">
        <v>96</v>
      </c>
    </row>
    <row r="22" customFormat="false" ht="15" hidden="false" customHeight="false" outlineLevel="0" collapsed="false">
      <c r="A22" s="40" t="s">
        <v>38</v>
      </c>
      <c r="B22" s="40" t="n">
        <v>0</v>
      </c>
      <c r="C22" s="40" t="n">
        <f aca="false">B22*B31</f>
        <v>0</v>
      </c>
      <c r="D22" s="40"/>
      <c r="E22" s="40" t="s">
        <v>38</v>
      </c>
      <c r="F22" s="40"/>
      <c r="G22" s="40" t="n">
        <f aca="false">F22*B31</f>
        <v>0</v>
      </c>
      <c r="I22" s="40" t="s">
        <v>38</v>
      </c>
      <c r="J22" s="40"/>
      <c r="K22" s="40" t="n">
        <f aca="false">J22*B31</f>
        <v>0</v>
      </c>
    </row>
    <row r="23" customFormat="false" ht="15" hidden="false" customHeight="false" outlineLevel="0" collapsed="false">
      <c r="A23" s="40" t="s">
        <v>41</v>
      </c>
      <c r="B23" s="40" t="n">
        <v>0</v>
      </c>
      <c r="C23" s="40" t="n">
        <f aca="false">B23*B32</f>
        <v>0</v>
      </c>
      <c r="D23" s="40"/>
      <c r="E23" s="40" t="s">
        <v>41</v>
      </c>
      <c r="F23" s="40"/>
      <c r="G23" s="40" t="n">
        <f aca="false">F23*B32</f>
        <v>0</v>
      </c>
      <c r="I23" s="40" t="s">
        <v>41</v>
      </c>
      <c r="J23" s="40"/>
      <c r="K23" s="40" t="n">
        <f aca="false">J23*B32</f>
        <v>0</v>
      </c>
    </row>
    <row r="24" customFormat="false" ht="15" hidden="false" customHeight="false" outlineLevel="0" collapsed="false">
      <c r="A24" s="40" t="s">
        <v>40</v>
      </c>
      <c r="B24" s="40" t="n">
        <v>0</v>
      </c>
      <c r="C24" s="40" t="n">
        <f aca="false">B24*B33</f>
        <v>0</v>
      </c>
      <c r="D24" s="40"/>
      <c r="E24" s="40" t="s">
        <v>40</v>
      </c>
      <c r="F24" s="40"/>
      <c r="G24" s="40" t="n">
        <f aca="false">F24*B33</f>
        <v>0</v>
      </c>
      <c r="I24" s="40" t="s">
        <v>40</v>
      </c>
      <c r="J24" s="40"/>
      <c r="K24" s="40" t="n">
        <f aca="false">J24*B33</f>
        <v>0</v>
      </c>
    </row>
    <row r="25" customFormat="false" ht="15" hidden="false" customHeight="false" outlineLevel="0" collapsed="false">
      <c r="A25" s="40" t="s">
        <v>42</v>
      </c>
      <c r="B25" s="40" t="n">
        <v>0</v>
      </c>
      <c r="C25" s="40" t="n">
        <f aca="false">B25*B34</f>
        <v>0</v>
      </c>
      <c r="D25" s="40"/>
      <c r="E25" s="40" t="s">
        <v>42</v>
      </c>
      <c r="F25" s="40"/>
      <c r="G25" s="40" t="n">
        <f aca="false">F25*B34</f>
        <v>0</v>
      </c>
      <c r="I25" s="40" t="s">
        <v>42</v>
      </c>
      <c r="J25" s="40"/>
      <c r="K25" s="40" t="n">
        <f aca="false">J25*B34</f>
        <v>0</v>
      </c>
    </row>
    <row r="26" customFormat="false" ht="15" hidden="false" customHeight="false" outlineLevel="0" collapsed="false">
      <c r="A26" s="40" t="s">
        <v>46</v>
      </c>
      <c r="B26" s="40" t="n">
        <v>0</v>
      </c>
      <c r="C26" s="40" t="n">
        <f aca="false">B26*B35</f>
        <v>0</v>
      </c>
      <c r="D26" s="40"/>
      <c r="E26" s="40" t="s">
        <v>46</v>
      </c>
      <c r="F26" s="40"/>
      <c r="G26" s="40" t="n">
        <f aca="false">F26*B35</f>
        <v>0</v>
      </c>
      <c r="I26" s="40" t="s">
        <v>46</v>
      </c>
      <c r="J26" s="40"/>
      <c r="K26" s="40" t="n">
        <f aca="false">J26*B35</f>
        <v>0</v>
      </c>
    </row>
    <row r="27" customFormat="false" ht="15" hidden="false" customHeight="false" outlineLevel="0" collapsed="false">
      <c r="A27" s="40" t="s">
        <v>50</v>
      </c>
      <c r="B27" s="40" t="n">
        <v>14.7851666666667</v>
      </c>
      <c r="C27" s="40" t="n">
        <f aca="false">B27*B36</f>
        <v>266.428703333334</v>
      </c>
      <c r="D27" s="40"/>
      <c r="E27" s="40" t="s">
        <v>50</v>
      </c>
      <c r="F27" s="40"/>
      <c r="G27" s="40" t="n">
        <f aca="false">F27*B36</f>
        <v>0</v>
      </c>
      <c r="I27" s="40" t="s">
        <v>50</v>
      </c>
      <c r="J27" s="40"/>
      <c r="K27" s="40" t="n">
        <f aca="false">J27*B36</f>
        <v>0</v>
      </c>
    </row>
    <row r="28" customFormat="false" ht="15" hidden="false" customHeight="false" outlineLevel="0" collapsed="false">
      <c r="A28" s="49"/>
      <c r="B28" s="49"/>
      <c r="C28" s="49"/>
      <c r="D28" s="49"/>
      <c r="E28" s="49"/>
      <c r="F28" s="49"/>
      <c r="G28" s="49"/>
      <c r="I28" s="40"/>
      <c r="J28" s="40"/>
      <c r="K28" s="40"/>
    </row>
    <row r="29" customFormat="false" ht="15" hidden="false" customHeight="false" outlineLevel="0" collapsed="false">
      <c r="A29" s="0"/>
      <c r="B29" s="0"/>
      <c r="I29" s="48" t="s">
        <v>103</v>
      </c>
      <c r="J29" s="48"/>
      <c r="K29" s="48"/>
    </row>
    <row r="30" customFormat="false" ht="15" hidden="false" customHeight="false" outlineLevel="0" collapsed="false">
      <c r="A30" s="40"/>
      <c r="B30" s="40" t="s">
        <v>104</v>
      </c>
      <c r="I30" s="40"/>
      <c r="J30" s="40" t="s">
        <v>95</v>
      </c>
      <c r="K30" s="40" t="s">
        <v>96</v>
      </c>
    </row>
    <row r="31" customFormat="false" ht="15" hidden="false" customHeight="false" outlineLevel="0" collapsed="false">
      <c r="A31" s="40" t="s">
        <v>38</v>
      </c>
      <c r="B31" s="40" t="n">
        <v>32.04</v>
      </c>
      <c r="I31" s="40" t="s">
        <v>38</v>
      </c>
      <c r="J31" s="40"/>
      <c r="K31" s="40" t="n">
        <f aca="false">J31*B31</f>
        <v>0</v>
      </c>
    </row>
    <row r="32" customFormat="false" ht="15" hidden="false" customHeight="false" outlineLevel="0" collapsed="false">
      <c r="A32" s="40" t="s">
        <v>41</v>
      </c>
      <c r="B32" s="40" t="n">
        <v>56.11</v>
      </c>
      <c r="I32" s="40" t="s">
        <v>41</v>
      </c>
      <c r="J32" s="40"/>
      <c r="K32" s="40" t="n">
        <f aca="false">J32*B32</f>
        <v>0</v>
      </c>
    </row>
    <row r="33" customFormat="false" ht="15" hidden="false" customHeight="false" outlineLevel="0" collapsed="false">
      <c r="A33" s="40" t="s">
        <v>40</v>
      </c>
      <c r="B33" s="40" t="n">
        <v>56.11</v>
      </c>
      <c r="I33" s="40" t="s">
        <v>40</v>
      </c>
      <c r="J33" s="40"/>
      <c r="K33" s="40" t="n">
        <f aca="false">J33*B33</f>
        <v>0</v>
      </c>
    </row>
    <row r="34" customFormat="false" ht="15" hidden="false" customHeight="false" outlineLevel="0" collapsed="false">
      <c r="A34" s="40" t="s">
        <v>42</v>
      </c>
      <c r="B34" s="40" t="n">
        <v>56.11</v>
      </c>
      <c r="I34" s="40" t="s">
        <v>42</v>
      </c>
      <c r="J34" s="40"/>
      <c r="K34" s="40" t="n">
        <f aca="false">J34*B34</f>
        <v>0</v>
      </c>
    </row>
    <row r="35" customFormat="false" ht="15" hidden="false" customHeight="false" outlineLevel="0" collapsed="false">
      <c r="A35" s="40" t="s">
        <v>46</v>
      </c>
      <c r="B35" s="40" t="n">
        <v>88.15</v>
      </c>
      <c r="I35" s="40" t="s">
        <v>46</v>
      </c>
      <c r="J35" s="40"/>
      <c r="K35" s="40" t="n">
        <f aca="false">J35*B35</f>
        <v>0</v>
      </c>
    </row>
    <row r="36" customFormat="false" ht="15" hidden="false" customHeight="false" outlineLevel="0" collapsed="false">
      <c r="A36" s="40" t="s">
        <v>50</v>
      </c>
      <c r="B36" s="40" t="n">
        <v>18.02</v>
      </c>
      <c r="I36" s="40" t="s">
        <v>50</v>
      </c>
      <c r="J36" s="40"/>
      <c r="K36" s="40"/>
    </row>
    <row r="37" customFormat="false" ht="15" hidden="false" customHeight="false" outlineLevel="0" collapsed="false">
      <c r="A37" s="40"/>
      <c r="B37" s="40"/>
    </row>
    <row r="38" customFormat="false" ht="15" hidden="false" customHeight="false" outlineLevel="0" collapsed="false">
      <c r="A38" s="53" t="s">
        <v>106</v>
      </c>
      <c r="B38" s="53" t="n">
        <f aca="false">SUM(C4:C9,C13:C18,C22:C27)-SUM(G4:G9,G13:G18,G22:G27,K4:K9,K13:K18,K22:K27,K31:K35)</f>
        <v>7835.53977533333</v>
      </c>
    </row>
  </sheetData>
  <mergeCells count="13">
    <mergeCell ref="A1:C1"/>
    <mergeCell ref="E1:G1"/>
    <mergeCell ref="I1:K1"/>
    <mergeCell ref="A2:C2"/>
    <mergeCell ref="E2:G2"/>
    <mergeCell ref="I2:K2"/>
    <mergeCell ref="A11:C11"/>
    <mergeCell ref="E11:G11"/>
    <mergeCell ref="I11:K11"/>
    <mergeCell ref="A20:C20"/>
    <mergeCell ref="E20:G20"/>
    <mergeCell ref="I20:K20"/>
    <mergeCell ref="I29:K2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Q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M11" activeCellId="0" sqref="M11"/>
    </sheetView>
  </sheetViews>
  <sheetFormatPr defaultRowHeight="15"/>
  <cols>
    <col collapsed="false" hidden="false" max="1025" min="1" style="0" width="8.70918367346939"/>
  </cols>
  <sheetData>
    <row r="1" customFormat="false" ht="15" hidden="false" customHeight="false" outlineLevel="0" collapsed="false">
      <c r="A1" s="26" t="n">
        <v>1</v>
      </c>
      <c r="B1" s="26"/>
      <c r="C1" s="26"/>
      <c r="D1" s="17"/>
      <c r="E1" s="26" t="n">
        <v>19</v>
      </c>
      <c r="F1" s="26"/>
      <c r="G1" s="26"/>
      <c r="N1" s="26" t="n">
        <v>24</v>
      </c>
      <c r="O1" s="26"/>
      <c r="P1" s="26"/>
      <c r="Q1" s="17"/>
    </row>
    <row r="2" customFormat="false" ht="15" hidden="false" customHeight="false" outlineLevel="0" collapsed="false">
      <c r="A2" s="17"/>
      <c r="B2" s="17" t="s">
        <v>95</v>
      </c>
      <c r="C2" s="17" t="s">
        <v>96</v>
      </c>
      <c r="D2" s="17"/>
      <c r="E2" s="17"/>
      <c r="F2" s="17" t="s">
        <v>95</v>
      </c>
      <c r="G2" s="17" t="s">
        <v>96</v>
      </c>
      <c r="J2" s="0" t="s">
        <v>104</v>
      </c>
      <c r="N2" s="17"/>
      <c r="O2" s="17" t="s">
        <v>95</v>
      </c>
      <c r="P2" s="17" t="s">
        <v>96</v>
      </c>
      <c r="Q2" s="17"/>
    </row>
    <row r="3" customFormat="false" ht="15" hidden="false" customHeight="false" outlineLevel="0" collapsed="false">
      <c r="A3" s="17" t="s">
        <v>38</v>
      </c>
      <c r="B3" s="17" t="n">
        <v>62.4491</v>
      </c>
      <c r="C3" s="17" t="n">
        <f aca="false">B3*J3</f>
        <v>2000.869164</v>
      </c>
      <c r="D3" s="17"/>
      <c r="E3" s="17" t="s">
        <v>38</v>
      </c>
      <c r="F3" s="17"/>
      <c r="G3" s="17" t="n">
        <f aca="false">F3*J3</f>
        <v>0</v>
      </c>
      <c r="I3" s="0" t="s">
        <v>38</v>
      </c>
      <c r="J3" s="0" t="n">
        <v>32.04</v>
      </c>
      <c r="N3" s="17" t="s">
        <v>38</v>
      </c>
      <c r="O3" s="17" t="n">
        <v>7.5509</v>
      </c>
      <c r="P3" s="17" t="n">
        <f aca="false">O3*J3</f>
        <v>241.930836</v>
      </c>
      <c r="Q3" s="17"/>
    </row>
    <row r="4" customFormat="false" ht="15" hidden="false" customHeight="false" outlineLevel="0" collapsed="false">
      <c r="A4" s="17" t="s">
        <v>41</v>
      </c>
      <c r="B4" s="17"/>
      <c r="C4" s="17" t="n">
        <f aca="false">B4*J4</f>
        <v>0</v>
      </c>
      <c r="D4" s="17"/>
      <c r="E4" s="17" t="s">
        <v>41</v>
      </c>
      <c r="F4" s="17" t="n">
        <v>0.23</v>
      </c>
      <c r="G4" s="17" t="n">
        <f aca="false">F4*J4</f>
        <v>12.9053</v>
      </c>
      <c r="I4" s="0" t="s">
        <v>41</v>
      </c>
      <c r="J4" s="0" t="n">
        <v>56.11</v>
      </c>
      <c r="N4" s="17" t="s">
        <v>41</v>
      </c>
      <c r="O4" s="17"/>
      <c r="P4" s="17"/>
      <c r="Q4" s="17"/>
    </row>
    <row r="5" customFormat="false" ht="15" hidden="false" customHeight="false" outlineLevel="0" collapsed="false">
      <c r="A5" s="17" t="s">
        <v>40</v>
      </c>
      <c r="B5" s="17"/>
      <c r="C5" s="17" t="n">
        <f aca="false">B5*J5</f>
        <v>0</v>
      </c>
      <c r="D5" s="17"/>
      <c r="E5" s="17" t="s">
        <v>40</v>
      </c>
      <c r="F5" s="17" t="n">
        <v>6.6667</v>
      </c>
      <c r="G5" s="17" t="n">
        <f aca="false">F5*J5</f>
        <v>374.068537</v>
      </c>
      <c r="I5" s="0" t="s">
        <v>40</v>
      </c>
      <c r="J5" s="0" t="n">
        <v>56.11</v>
      </c>
      <c r="N5" s="17" t="s">
        <v>40</v>
      </c>
      <c r="O5" s="17"/>
      <c r="P5" s="17"/>
      <c r="Q5" s="17"/>
    </row>
    <row r="6" customFormat="false" ht="15" hidden="false" customHeight="false" outlineLevel="0" collapsed="false">
      <c r="A6" s="17" t="s">
        <v>42</v>
      </c>
      <c r="B6" s="17"/>
      <c r="C6" s="17" t="n">
        <f aca="false">B6*J6</f>
        <v>0</v>
      </c>
      <c r="D6" s="17"/>
      <c r="E6" s="17" t="s">
        <v>42</v>
      </c>
      <c r="F6" s="17" t="n">
        <v>19</v>
      </c>
      <c r="G6" s="17" t="n">
        <f aca="false">F6*J6</f>
        <v>1066.09</v>
      </c>
      <c r="I6" s="0" t="s">
        <v>42</v>
      </c>
      <c r="J6" s="0" t="n">
        <v>56.11</v>
      </c>
      <c r="N6" s="17" t="s">
        <v>42</v>
      </c>
      <c r="O6" s="17"/>
      <c r="P6" s="17"/>
      <c r="Q6" s="17"/>
    </row>
    <row r="7" customFormat="false" ht="15" hidden="false" customHeight="false" outlineLevel="0" collapsed="false">
      <c r="A7" s="17" t="s">
        <v>46</v>
      </c>
      <c r="B7" s="17"/>
      <c r="C7" s="17" t="n">
        <f aca="false">B7*J7</f>
        <v>0</v>
      </c>
      <c r="D7" s="17"/>
      <c r="E7" s="17" t="s">
        <v>46</v>
      </c>
      <c r="F7" s="17"/>
      <c r="G7" s="17" t="n">
        <f aca="false">F7*J7</f>
        <v>0</v>
      </c>
      <c r="I7" s="0" t="s">
        <v>46</v>
      </c>
      <c r="J7" s="0" t="n">
        <v>88.15</v>
      </c>
      <c r="N7" s="17" t="s">
        <v>46</v>
      </c>
      <c r="O7" s="17"/>
      <c r="P7" s="17"/>
      <c r="Q7" s="17"/>
    </row>
    <row r="8" customFormat="false" ht="15" hidden="false" customHeight="false" outlineLevel="0" collapsed="false">
      <c r="A8" s="17" t="s">
        <v>50</v>
      </c>
      <c r="B8" s="17"/>
      <c r="C8" s="17" t="n">
        <f aca="false">B8*J8</f>
        <v>0</v>
      </c>
      <c r="D8" s="17"/>
      <c r="E8" s="17" t="s">
        <v>50</v>
      </c>
      <c r="F8" s="17"/>
      <c r="G8" s="17" t="n">
        <f aca="false">F8*J8</f>
        <v>0</v>
      </c>
      <c r="I8" s="0" t="s">
        <v>50</v>
      </c>
      <c r="J8" s="0" t="n">
        <v>18.02</v>
      </c>
      <c r="N8" s="17" t="s">
        <v>50</v>
      </c>
      <c r="O8" s="17"/>
      <c r="P8" s="17"/>
      <c r="Q8" s="17"/>
    </row>
    <row r="9" customFormat="false" ht="15" hidden="false" customHeight="false" outlineLevel="0" collapsed="false">
      <c r="A9" s="17"/>
      <c r="B9" s="17"/>
      <c r="C9" s="17"/>
      <c r="D9" s="17"/>
      <c r="E9" s="17"/>
      <c r="F9" s="17"/>
      <c r="G9" s="17"/>
      <c r="N9" s="26" t="n">
        <v>27</v>
      </c>
      <c r="O9" s="26"/>
      <c r="P9" s="26"/>
      <c r="Q9" s="17"/>
    </row>
    <row r="10" customFormat="false" ht="15" hidden="false" customHeight="false" outlineLevel="0" collapsed="false">
      <c r="A10" s="26" t="n">
        <v>2</v>
      </c>
      <c r="B10" s="26"/>
      <c r="C10" s="26"/>
      <c r="D10" s="17"/>
      <c r="E10" s="26" t="n">
        <v>17</v>
      </c>
      <c r="F10" s="26"/>
      <c r="G10" s="26"/>
      <c r="I10" s="67" t="s">
        <v>106</v>
      </c>
      <c r="J10" s="67" t="n">
        <f aca="false">SUM(C3:C8,C12:C17,C21:C26)-SUM(G3:G8,G12:G17,G21:G26)</f>
        <v>5281.450785</v>
      </c>
      <c r="L10" s="0" t="n">
        <f aca="false">J10-SUM(K20:K24,P20:P24)</f>
        <v>386.087631999999</v>
      </c>
      <c r="M10" s="0" t="n">
        <f aca="false">L10-SUM(P3,P16)</f>
        <v>-0.00320400000111931</v>
      </c>
      <c r="N10" s="17"/>
      <c r="O10" s="17" t="s">
        <v>95</v>
      </c>
      <c r="P10" s="17" t="s">
        <v>96</v>
      </c>
      <c r="Q10" s="17"/>
    </row>
    <row r="11" customFormat="false" ht="15" hidden="false" customHeight="false" outlineLevel="0" collapsed="false">
      <c r="A11" s="17"/>
      <c r="B11" s="17" t="s">
        <v>95</v>
      </c>
      <c r="C11" s="17" t="s">
        <v>96</v>
      </c>
      <c r="D11" s="17"/>
      <c r="E11" s="17"/>
      <c r="F11" s="17" t="s">
        <v>95</v>
      </c>
      <c r="G11" s="17" t="s">
        <v>96</v>
      </c>
      <c r="N11" s="17" t="s">
        <v>38</v>
      </c>
      <c r="O11" s="17"/>
      <c r="P11" s="17"/>
      <c r="Q11" s="17"/>
    </row>
    <row r="12" customFormat="false" ht="15" hidden="false" customHeight="false" outlineLevel="0" collapsed="false">
      <c r="A12" s="17" t="s">
        <v>38</v>
      </c>
      <c r="B12" s="17"/>
      <c r="C12" s="17" t="n">
        <f aca="false">B12*J3</f>
        <v>0</v>
      </c>
      <c r="D12" s="17"/>
      <c r="E12" s="17" t="s">
        <v>38</v>
      </c>
      <c r="F12" s="17" t="n">
        <v>1.1923</v>
      </c>
      <c r="G12" s="17" t="n">
        <f aca="false">F12*J3</f>
        <v>38.201292</v>
      </c>
      <c r="N12" s="17" t="s">
        <v>41</v>
      </c>
      <c r="O12" s="17"/>
      <c r="P12" s="17"/>
      <c r="Q12" s="17"/>
    </row>
    <row r="13" customFormat="false" ht="15" hidden="false" customHeight="false" outlineLevel="0" collapsed="false">
      <c r="A13" s="17" t="s">
        <v>41</v>
      </c>
      <c r="B13" s="17" t="n">
        <v>23</v>
      </c>
      <c r="C13" s="17" t="n">
        <f aca="false">B13*J4</f>
        <v>1290.53</v>
      </c>
      <c r="D13" s="17"/>
      <c r="E13" s="17" t="s">
        <v>41</v>
      </c>
      <c r="F13" s="17"/>
      <c r="G13" s="17" t="n">
        <f aca="false">F13*J4</f>
        <v>0</v>
      </c>
      <c r="I13" s="0" t="s">
        <v>115</v>
      </c>
      <c r="J13" s="0" t="n">
        <f aca="false">SUM(B3:B7)-SUM(B12:B16)-SUM(B21:B26)-SUM(F3:F7)-SUM(F12:F16)</f>
        <v>-91.7949</v>
      </c>
      <c r="L13" s="0" t="n">
        <f aca="false">SUM(B3:B7)-SUM(J20:J23,O20:O24)</f>
        <v>-31.8952</v>
      </c>
      <c r="N13" s="17" t="s">
        <v>40</v>
      </c>
      <c r="O13" s="17"/>
      <c r="P13" s="17"/>
      <c r="Q13" s="17"/>
    </row>
    <row r="14" customFormat="false" ht="15" hidden="false" customHeight="false" outlineLevel="0" collapsed="false">
      <c r="A14" s="17" t="s">
        <v>40</v>
      </c>
      <c r="B14" s="17" t="n">
        <v>20</v>
      </c>
      <c r="C14" s="17" t="n">
        <f aca="false">B14*J5</f>
        <v>1122.2</v>
      </c>
      <c r="D14" s="17"/>
      <c r="E14" s="17" t="s">
        <v>40</v>
      </c>
      <c r="F14" s="17"/>
      <c r="G14" s="17" t="n">
        <f aca="false">F14*J5</f>
        <v>0</v>
      </c>
      <c r="N14" s="17" t="s">
        <v>42</v>
      </c>
      <c r="O14" s="17"/>
      <c r="P14" s="17"/>
      <c r="Q14" s="17"/>
    </row>
    <row r="15" customFormat="false" ht="15" hidden="false" customHeight="false" outlineLevel="0" collapsed="false">
      <c r="A15" s="17" t="s">
        <v>42</v>
      </c>
      <c r="B15" s="17" t="n">
        <v>57</v>
      </c>
      <c r="C15" s="17" t="n">
        <f aca="false">B15*J6</f>
        <v>3198.27</v>
      </c>
      <c r="D15" s="17"/>
      <c r="E15" s="17" t="s">
        <v>42</v>
      </c>
      <c r="F15" s="17"/>
      <c r="G15" s="17" t="n">
        <f aca="false">F15*J6</f>
        <v>0</v>
      </c>
      <c r="N15" s="17" t="s">
        <v>46</v>
      </c>
      <c r="O15" s="17"/>
      <c r="P15" s="17"/>
      <c r="Q15" s="17"/>
    </row>
    <row r="16" customFormat="false" ht="15" hidden="false" customHeight="false" outlineLevel="0" collapsed="false">
      <c r="A16" s="17" t="s">
        <v>46</v>
      </c>
      <c r="B16" s="17"/>
      <c r="C16" s="17" t="n">
        <f aca="false">B16*J7</f>
        <v>0</v>
      </c>
      <c r="D16" s="17"/>
      <c r="E16" s="17" t="s">
        <v>46</v>
      </c>
      <c r="F16" s="17" t="n">
        <v>11.155</v>
      </c>
      <c r="G16" s="17" t="n">
        <f aca="false">F16*J7</f>
        <v>983.31325</v>
      </c>
      <c r="N16" s="17" t="s">
        <v>50</v>
      </c>
      <c r="O16" s="17" t="n">
        <v>8</v>
      </c>
      <c r="P16" s="17" t="n">
        <f aca="false">O16*J8</f>
        <v>144.16</v>
      </c>
      <c r="Q16" s="17"/>
    </row>
    <row r="17" customFormat="false" ht="15" hidden="false" customHeight="false" outlineLevel="0" collapsed="false">
      <c r="A17" s="17" t="s">
        <v>50</v>
      </c>
      <c r="B17" s="17"/>
      <c r="C17" s="17" t="n">
        <f aca="false">B17*J8</f>
        <v>0</v>
      </c>
      <c r="D17" s="17"/>
      <c r="E17" s="17" t="s">
        <v>50</v>
      </c>
      <c r="F17" s="17"/>
      <c r="G17" s="17" t="n">
        <f aca="false">F17*J8</f>
        <v>0</v>
      </c>
      <c r="N17" s="17"/>
      <c r="O17" s="17"/>
      <c r="P17" s="17"/>
      <c r="Q17" s="17"/>
    </row>
    <row r="18" customFormat="false" ht="15" hidden="false" customHeight="false" outlineLevel="0" collapsed="false">
      <c r="A18" s="17"/>
      <c r="B18" s="17"/>
      <c r="C18" s="17"/>
      <c r="D18" s="17"/>
      <c r="E18" s="17"/>
      <c r="F18" s="17"/>
      <c r="G18" s="17"/>
      <c r="I18" s="26" t="n">
        <v>13</v>
      </c>
      <c r="J18" s="26"/>
      <c r="K18" s="26"/>
      <c r="L18" s="17"/>
      <c r="N18" s="26" t="n">
        <v>16</v>
      </c>
      <c r="O18" s="26"/>
      <c r="P18" s="26"/>
      <c r="Q18" s="17"/>
    </row>
    <row r="19" customFormat="false" ht="15" hidden="false" customHeight="false" outlineLevel="0" collapsed="false">
      <c r="A19" s="26" t="n">
        <v>18</v>
      </c>
      <c r="B19" s="26"/>
      <c r="C19" s="26"/>
      <c r="D19" s="17"/>
      <c r="E19" s="26" t="n">
        <v>28</v>
      </c>
      <c r="F19" s="26"/>
      <c r="G19" s="26"/>
      <c r="I19" s="17"/>
      <c r="J19" s="17" t="s">
        <v>95</v>
      </c>
      <c r="K19" s="17" t="s">
        <v>96</v>
      </c>
      <c r="L19" s="17"/>
      <c r="N19" s="17"/>
      <c r="O19" s="17" t="s">
        <v>95</v>
      </c>
      <c r="P19" s="17" t="s">
        <v>96</v>
      </c>
      <c r="Q19" s="17"/>
    </row>
    <row r="20" customFormat="false" ht="15" hidden="false" customHeight="false" outlineLevel="0" collapsed="false">
      <c r="A20" s="17"/>
      <c r="B20" s="17" t="s">
        <v>95</v>
      </c>
      <c r="C20" s="17" t="s">
        <v>96</v>
      </c>
      <c r="D20" s="17"/>
      <c r="E20" s="17"/>
      <c r="F20" s="17" t="s">
        <v>95</v>
      </c>
      <c r="G20" s="17" t="s">
        <v>96</v>
      </c>
      <c r="I20" s="17" t="s">
        <v>38</v>
      </c>
      <c r="J20" s="17" t="n">
        <v>30.2037</v>
      </c>
      <c r="K20" s="17" t="n">
        <f aca="false">J20*J3</f>
        <v>967.726548</v>
      </c>
      <c r="L20" s="17"/>
      <c r="N20" s="17" t="s">
        <v>38</v>
      </c>
      <c r="O20" s="17" t="n">
        <v>1.1923</v>
      </c>
      <c r="P20" s="17" t="n">
        <f aca="false">O20*J3</f>
        <v>38.201292</v>
      </c>
      <c r="Q20" s="17"/>
    </row>
    <row r="21" customFormat="false" ht="15" hidden="false" customHeight="false" outlineLevel="0" collapsed="false">
      <c r="A21" s="17" t="s">
        <v>38</v>
      </c>
      <c r="B21" s="17"/>
      <c r="C21" s="17" t="n">
        <f aca="false">B21*J3</f>
        <v>0</v>
      </c>
      <c r="D21" s="17"/>
      <c r="E21" s="17" t="s">
        <v>38</v>
      </c>
      <c r="F21" s="17"/>
      <c r="G21" s="17" t="n">
        <f aca="false">F21*J3</f>
        <v>0</v>
      </c>
      <c r="I21" s="17" t="s">
        <v>41</v>
      </c>
      <c r="J21" s="17" t="n">
        <v>0.46</v>
      </c>
      <c r="K21" s="17" t="n">
        <f aca="false">J21*J4</f>
        <v>25.8106</v>
      </c>
      <c r="L21" s="17"/>
      <c r="N21" s="17" t="s">
        <v>41</v>
      </c>
      <c r="O21" s="17"/>
      <c r="P21" s="17"/>
      <c r="Q21" s="17"/>
    </row>
    <row r="22" customFormat="false" ht="15" hidden="false" customHeight="false" outlineLevel="0" collapsed="false">
      <c r="A22" s="17" t="s">
        <v>41</v>
      </c>
      <c r="B22" s="17"/>
      <c r="C22" s="17" t="n">
        <f aca="false">B22*J4</f>
        <v>0</v>
      </c>
      <c r="D22" s="17"/>
      <c r="E22" s="17" t="s">
        <v>41</v>
      </c>
      <c r="F22" s="17"/>
      <c r="G22" s="17" t="n">
        <f aca="false">F22*J4</f>
        <v>0</v>
      </c>
      <c r="I22" s="17" t="s">
        <v>40</v>
      </c>
      <c r="J22" s="17" t="n">
        <v>13.3333</v>
      </c>
      <c r="K22" s="17" t="n">
        <f aca="false">J22*J5</f>
        <v>748.131463</v>
      </c>
      <c r="L22" s="17"/>
      <c r="N22" s="17" t="s">
        <v>40</v>
      </c>
      <c r="O22" s="17"/>
      <c r="P22" s="17"/>
      <c r="Q22" s="17"/>
    </row>
    <row r="23" customFormat="false" ht="15" hidden="false" customHeight="false" outlineLevel="0" collapsed="false">
      <c r="A23" s="17" t="s">
        <v>40</v>
      </c>
      <c r="B23" s="17"/>
      <c r="C23" s="17" t="n">
        <f aca="false">B23*J5</f>
        <v>0</v>
      </c>
      <c r="D23" s="17"/>
      <c r="E23" s="17" t="s">
        <v>40</v>
      </c>
      <c r="F23" s="17"/>
      <c r="G23" s="17" t="n">
        <f aca="false">F23*J5</f>
        <v>0</v>
      </c>
      <c r="I23" s="17" t="s">
        <v>42</v>
      </c>
      <c r="J23" s="17" t="n">
        <v>38</v>
      </c>
      <c r="K23" s="17" t="n">
        <f aca="false">J23*J6</f>
        <v>2132.18</v>
      </c>
      <c r="L23" s="17"/>
      <c r="N23" s="17" t="s">
        <v>42</v>
      </c>
      <c r="O23" s="17"/>
      <c r="P23" s="17"/>
      <c r="Q23" s="17"/>
    </row>
    <row r="24" customFormat="false" ht="15" hidden="false" customHeight="false" outlineLevel="0" collapsed="false">
      <c r="A24" s="17" t="s">
        <v>42</v>
      </c>
      <c r="B24" s="17"/>
      <c r="C24" s="17" t="n">
        <f aca="false">B24*J6</f>
        <v>0</v>
      </c>
      <c r="D24" s="17"/>
      <c r="E24" s="17" t="s">
        <v>42</v>
      </c>
      <c r="F24" s="17"/>
      <c r="G24" s="17" t="n">
        <f aca="false">F24*J6</f>
        <v>0</v>
      </c>
      <c r="I24" s="17" t="s">
        <v>46</v>
      </c>
      <c r="J24" s="17"/>
      <c r="K24" s="17"/>
      <c r="L24" s="17"/>
      <c r="N24" s="17" t="s">
        <v>46</v>
      </c>
      <c r="O24" s="17" t="n">
        <v>11.155</v>
      </c>
      <c r="P24" s="17" t="n">
        <f aca="false">O24*J7</f>
        <v>983.31325</v>
      </c>
      <c r="Q24" s="17"/>
    </row>
    <row r="25" customFormat="false" ht="15" hidden="false" customHeight="false" outlineLevel="0" collapsed="false">
      <c r="A25" s="17" t="s">
        <v>46</v>
      </c>
      <c r="B25" s="17"/>
      <c r="C25" s="17" t="n">
        <f aca="false">B25*J7</f>
        <v>0</v>
      </c>
      <c r="D25" s="17"/>
      <c r="E25" s="17" t="s">
        <v>46</v>
      </c>
      <c r="F25" s="17"/>
      <c r="G25" s="17" t="n">
        <f aca="false">F25*J7</f>
        <v>0</v>
      </c>
      <c r="I25" s="17" t="s">
        <v>50</v>
      </c>
      <c r="J25" s="17"/>
      <c r="K25" s="17"/>
      <c r="L25" s="17"/>
      <c r="N25" s="17" t="s">
        <v>50</v>
      </c>
      <c r="O25" s="17"/>
      <c r="P25" s="17"/>
      <c r="Q25" s="17"/>
    </row>
    <row r="26" customFormat="false" ht="15" hidden="false" customHeight="false" outlineLevel="0" collapsed="false">
      <c r="A26" s="17" t="s">
        <v>50</v>
      </c>
      <c r="B26" s="17" t="n">
        <v>16</v>
      </c>
      <c r="C26" s="17" t="n">
        <f aca="false">B26*J8</f>
        <v>288.32</v>
      </c>
      <c r="D26" s="17"/>
      <c r="E26" s="17" t="s">
        <v>50</v>
      </c>
      <c r="F26" s="17" t="n">
        <v>8</v>
      </c>
      <c r="G26" s="17" t="n">
        <f aca="false">F26*J8</f>
        <v>144.16</v>
      </c>
      <c r="I26" s="17"/>
      <c r="J26" s="17"/>
      <c r="K26" s="17"/>
      <c r="L26" s="17"/>
      <c r="N26" s="17"/>
      <c r="O26" s="17"/>
      <c r="P26" s="17"/>
      <c r="Q26" s="17"/>
    </row>
  </sheetData>
  <mergeCells count="10">
    <mergeCell ref="A1:C1"/>
    <mergeCell ref="E1:G1"/>
    <mergeCell ref="N1:P1"/>
    <mergeCell ref="N9:P9"/>
    <mergeCell ref="A10:C10"/>
    <mergeCell ref="E10:G10"/>
    <mergeCell ref="I18:K18"/>
    <mergeCell ref="N18:P18"/>
    <mergeCell ref="A19:C19"/>
    <mergeCell ref="E19:G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2014-07-12T12:22:27Z</dcterms:created>
  <dc:creator>user</dc:creator>
  <dc:language>en-MY</dc:language>
  <cp:lastModifiedBy>student</cp:lastModifiedBy>
  <dcterms:modified xsi:type="dcterms:W3CDTF">2014-08-01T05:24:06Z</dcterms:modified>
  <cp:revision>0</cp:revision>
</cp:coreProperties>
</file>